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4"/>
  </bookViews>
  <sheets>
    <sheet name="Zwemmers" sheetId="1" r:id="rId1"/>
    <sheet name="Uitgangspunten" sheetId="2" r:id="rId2"/>
    <sheet name="Rekenschema baten" sheetId="3" r:id="rId3"/>
    <sheet name="Rekenschema kosten" sheetId="4" r:id="rId4"/>
    <sheet name="Balans" sheetId="5" r:id="rId5"/>
  </sheets>
  <definedNames/>
  <calcPr fullCalcOnLoad="1"/>
</workbook>
</file>

<file path=xl/sharedStrings.xml><?xml version="1.0" encoding="utf-8"?>
<sst xmlns="http://schemas.openxmlformats.org/spreadsheetml/2006/main" count="105" uniqueCount="87">
  <si>
    <t>Effecten die in de analyse betrokken worden</t>
  </si>
  <si>
    <t>€ per bezoek per persoon</t>
  </si>
  <si>
    <t>eenheid</t>
  </si>
  <si>
    <t>Aantal zwemmers</t>
  </si>
  <si>
    <t>rekening houden met autonome groei</t>
  </si>
  <si>
    <t>rekening houden met exogene ontwikkelingen (bijvoorbeeld aanleg woonwijk)</t>
  </si>
  <si>
    <t>Autonome groei</t>
  </si>
  <si>
    <t>indirecte effecten</t>
  </si>
  <si>
    <t>Bestedingen zwemmers</t>
  </si>
  <si>
    <t>is 37% van € 6,40</t>
  </si>
  <si>
    <t>Nieuwe woonwijk</t>
  </si>
  <si>
    <t>Bij voorkeur op basis van tellingen, anders door middel van schattingen</t>
  </si>
  <si>
    <t>Voorbeeld</t>
  </si>
  <si>
    <t>In jaar 5 nieuwe woonwijk met 1000 nieuwe woningen</t>
  </si>
  <si>
    <t>Uitgangspunt in startjaar 1000 zwemmers per dag</t>
  </si>
  <si>
    <t>jaar 0</t>
  </si>
  <si>
    <t>basis</t>
  </si>
  <si>
    <t>project</t>
  </si>
  <si>
    <t xml:space="preserve">Verbetering van de kwaliteit levert 10% extra zwemmers op </t>
  </si>
  <si>
    <t>jaar 1</t>
  </si>
  <si>
    <t>jaar 2</t>
  </si>
  <si>
    <t xml:space="preserve">volgens recreatiemodel omgeving van </t>
  </si>
  <si>
    <t># nieuwe zwemmers per dag</t>
  </si>
  <si>
    <t>bezoeken per 1000 woningen per dag</t>
  </si>
  <si>
    <t>Toelichting</t>
  </si>
  <si>
    <t xml:space="preserve">In het referentiealternatief is sprake van een groei met 1,5% </t>
  </si>
  <si>
    <t>In jaar 5 zorgt de nieuwe woonwijk voor 17,33 extra zwemmers in het 0-alternatief</t>
  </si>
  <si>
    <t>In jaar 5 zorgt de nieuwe woonwijk voor (17,33*1,1 = 19,1 ) extra zwemmers in het projectalternatief</t>
  </si>
  <si>
    <t>In het projectalternatief neemt het aantal zwemmers na verbetering met 10% toe en daarna trendmatig met 1,5%</t>
  </si>
  <si>
    <t>per jaar</t>
  </si>
  <si>
    <t>Directe baten</t>
  </si>
  <si>
    <t>bestaande zwemmers</t>
  </si>
  <si>
    <t>nieuwe zwemmers</t>
  </si>
  <si>
    <t>Totaal</t>
  </si>
  <si>
    <t>Bestaande zwemmers zijn zwemmers die in het 0-alternatief al zwemmen</t>
  </si>
  <si>
    <t>Afschrijvingen</t>
  </si>
  <si>
    <t>Onderhoud</t>
  </si>
  <si>
    <t>Toezicht</t>
  </si>
  <si>
    <t>Projectalternatief</t>
  </si>
  <si>
    <t>De formule voor het disconteren luidt V(0) = V(t)/(1+r)^t, waarbij</t>
  </si>
  <si>
    <t>V(t) waarde in jaar t</t>
  </si>
  <si>
    <t>r = discontovoet (op dit moment 2,5%)</t>
  </si>
  <si>
    <t>V(0): gedisconteerde waarde in jaar 0</t>
  </si>
  <si>
    <t>bestaand</t>
  </si>
  <si>
    <t>nieuw</t>
  </si>
  <si>
    <t>totaal</t>
  </si>
  <si>
    <t>Directe effecten</t>
  </si>
  <si>
    <t>STAP 2</t>
  </si>
  <si>
    <t>STAP 1</t>
  </si>
  <si>
    <t>STAP 3</t>
  </si>
  <si>
    <t>Indirecte effecten</t>
  </si>
  <si>
    <t>V direct</t>
  </si>
  <si>
    <t>V indirect</t>
  </si>
  <si>
    <t>STAP 4</t>
  </si>
  <si>
    <t>Disconteren</t>
  </si>
  <si>
    <t>STAP 5</t>
  </si>
  <si>
    <t>jaarbaten</t>
  </si>
  <si>
    <t>Baten (rij 13 + rij 20)</t>
  </si>
  <si>
    <t>Baten Totaal</t>
  </si>
  <si>
    <t>Discontovoet</t>
  </si>
  <si>
    <t>zwemdagen</t>
  </si>
  <si>
    <t>zwemmers</t>
  </si>
  <si>
    <t>Totaal (som van gedisconteerde baten)</t>
  </si>
  <si>
    <t>Bestaande zwemmers</t>
  </si>
  <si>
    <t>Nieuwe zwemmers</t>
  </si>
  <si>
    <t>Nieuwe zwemmers gaan zwemmen als gevolg van de verbetering (= aantal zwemmers in projectalternatief -/- zwemmers in referentiealternatief)</t>
  </si>
  <si>
    <t>procent</t>
  </si>
  <si>
    <t>Kosten batenverhouding</t>
  </si>
  <si>
    <t>baten</t>
  </si>
  <si>
    <t>kosten</t>
  </si>
  <si>
    <t>Referentiealternatief</t>
  </si>
  <si>
    <t>Kosten</t>
  </si>
  <si>
    <t>kostenraming</t>
  </si>
  <si>
    <r>
      <t> </t>
    </r>
    <r>
      <rPr>
        <b/>
        <sz val="9"/>
        <rFont val="Arial"/>
        <family val="2"/>
      </rPr>
      <t>Inzamel</t>
    </r>
  </si>
  <si>
    <t>Investering</t>
  </si>
  <si>
    <t> Onderhoud</t>
  </si>
  <si>
    <t> Beheer</t>
  </si>
  <si>
    <t>Pomp</t>
  </si>
  <si>
    <t> Investering</t>
  </si>
  <si>
    <t xml:space="preserve">STAP 2 </t>
  </si>
  <si>
    <t>Referentie</t>
  </si>
  <si>
    <t>Project</t>
  </si>
  <si>
    <t>Alleen nieuwe zwemmers hebben indirect baten. Bestaande zwemmers consumeren ook al in het Referentiealternatief</t>
  </si>
  <si>
    <t>t = het jaar waarin de baten ontvangen worden of de kosten gemaakt</t>
  </si>
  <si>
    <t>Alle variabelen staan in kolom A van de volgende werkbladen en kunnen desgewenst worden gewijzigd. Het resultaat is direct zichtbaar!</t>
  </si>
  <si>
    <t>Zwemmers per dag in jaar t (t= 0 .. 10)</t>
  </si>
  <si>
    <t>Correctiefactoren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</si>
</sst>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51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b/>
      <sz val="10"/>
      <color indexed="47"/>
      <name val="Arial"/>
      <family val="2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3" fontId="7" fillId="5" borderId="0" xfId="0" applyNumberFormat="1" applyFont="1" applyFill="1" applyAlignment="1">
      <alignment/>
    </xf>
    <xf numFmtId="0" fontId="7" fillId="5" borderId="1" xfId="0" applyFont="1" applyFill="1" applyBorder="1" applyAlignment="1">
      <alignment/>
    </xf>
    <xf numFmtId="0" fontId="8" fillId="6" borderId="0" xfId="0" applyFont="1" applyFill="1" applyAlignment="1">
      <alignment/>
    </xf>
    <xf numFmtId="0" fontId="9" fillId="7" borderId="0" xfId="0" applyFont="1" applyFill="1" applyAlignment="1">
      <alignment/>
    </xf>
    <xf numFmtId="3" fontId="9" fillId="7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10" fontId="7" fillId="5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9" borderId="2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12" fillId="9" borderId="2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justify" vertical="top" wrapText="1"/>
    </xf>
    <xf numFmtId="3" fontId="12" fillId="0" borderId="3" xfId="0" applyNumberFormat="1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4" fillId="10" borderId="0" xfId="0" applyFont="1" applyFill="1" applyAlignment="1">
      <alignment horizontal="right"/>
    </xf>
    <xf numFmtId="3" fontId="4" fillId="10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3" fontId="14" fillId="11" borderId="0" xfId="0" applyNumberFormat="1" applyFont="1" applyFill="1" applyAlignment="1">
      <alignment/>
    </xf>
    <xf numFmtId="3" fontId="15" fillId="11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B1">
      <selection activeCell="D15" sqref="D15:W17"/>
    </sheetView>
  </sheetViews>
  <sheetFormatPr defaultColWidth="9.140625" defaultRowHeight="12.75"/>
  <cols>
    <col min="1" max="1" width="65.7109375" style="0" bestFit="1" customWidth="1"/>
  </cols>
  <sheetData>
    <row r="1" ht="12.75">
      <c r="A1" s="1" t="s">
        <v>3</v>
      </c>
    </row>
    <row r="2" ht="12.75">
      <c r="A2" t="s">
        <v>11</v>
      </c>
    </row>
    <row r="3" ht="12.75">
      <c r="A3" t="s">
        <v>4</v>
      </c>
    </row>
    <row r="4" ht="12.75">
      <c r="A4" t="s">
        <v>5</v>
      </c>
    </row>
    <row r="5" ht="12.75">
      <c r="A5" t="s">
        <v>21</v>
      </c>
    </row>
    <row r="7" spans="1:3" ht="12.75">
      <c r="A7" t="s">
        <v>6</v>
      </c>
      <c r="B7" s="4">
        <v>0.015</v>
      </c>
      <c r="C7" t="s">
        <v>29</v>
      </c>
    </row>
    <row r="8" spans="1:3" ht="12.75">
      <c r="A8" t="s">
        <v>10</v>
      </c>
      <c r="B8">
        <v>17.333</v>
      </c>
      <c r="C8" t="s">
        <v>23</v>
      </c>
    </row>
    <row r="11" ht="12.75">
      <c r="A11" t="s">
        <v>12</v>
      </c>
    </row>
    <row r="12" ht="12.75">
      <c r="A12" t="s">
        <v>14</v>
      </c>
    </row>
    <row r="13" spans="1:3" ht="12.75">
      <c r="A13" t="s">
        <v>13</v>
      </c>
      <c r="B13">
        <f>2600/150</f>
        <v>17.333333333333332</v>
      </c>
      <c r="C13" t="s">
        <v>22</v>
      </c>
    </row>
    <row r="14" ht="12.75">
      <c r="A14" t="s">
        <v>18</v>
      </c>
    </row>
    <row r="15" spans="5:15" ht="12.75">
      <c r="E15" t="s">
        <v>15</v>
      </c>
      <c r="F15" t="s">
        <v>19</v>
      </c>
      <c r="G15" t="s">
        <v>20</v>
      </c>
      <c r="H15">
        <v>3</v>
      </c>
      <c r="I15">
        <v>4</v>
      </c>
      <c r="J15">
        <v>5</v>
      </c>
      <c r="K15">
        <v>6</v>
      </c>
      <c r="L15">
        <v>7</v>
      </c>
      <c r="M15">
        <v>8</v>
      </c>
      <c r="N15">
        <v>9</v>
      </c>
      <c r="O15">
        <v>10</v>
      </c>
    </row>
    <row r="16" spans="4:15" ht="12.75">
      <c r="D16" t="s">
        <v>16</v>
      </c>
      <c r="E16" s="2">
        <v>1000</v>
      </c>
      <c r="F16" s="2">
        <f>E16*1.015</f>
        <v>1014.9999999999999</v>
      </c>
      <c r="G16" s="2">
        <f>F16*1.015</f>
        <v>1030.2249999999997</v>
      </c>
      <c r="H16" s="2">
        <f>G16*1.015</f>
        <v>1045.6783749999995</v>
      </c>
      <c r="I16" s="2">
        <f>H16*1.015</f>
        <v>1061.3635506249993</v>
      </c>
      <c r="J16" s="2">
        <f>(I16*1.015)+B13</f>
        <v>1094.6173372177075</v>
      </c>
      <c r="K16" s="2">
        <f aca="true" t="shared" si="0" ref="K16:O17">J16*1.015</f>
        <v>1111.036597275973</v>
      </c>
      <c r="L16" s="2">
        <f t="shared" si="0"/>
        <v>1127.7021462351124</v>
      </c>
      <c r="M16" s="2">
        <f t="shared" si="0"/>
        <v>1144.617678428639</v>
      </c>
      <c r="N16" s="2">
        <f t="shared" si="0"/>
        <v>1161.7869436050685</v>
      </c>
      <c r="O16" s="2">
        <f t="shared" si="0"/>
        <v>1179.2137477591443</v>
      </c>
    </row>
    <row r="17" spans="4:15" ht="12.75">
      <c r="D17" t="s">
        <v>17</v>
      </c>
      <c r="E17" s="2">
        <v>1000</v>
      </c>
      <c r="F17" s="2">
        <f>E17*1.1*1.015</f>
        <v>1116.5</v>
      </c>
      <c r="G17" s="2">
        <f>F17*1.015</f>
        <v>1133.2475</v>
      </c>
      <c r="H17" s="2">
        <f>G17*1.015</f>
        <v>1150.2462124999997</v>
      </c>
      <c r="I17" s="2">
        <f>H17*1.015</f>
        <v>1167.4999056874997</v>
      </c>
      <c r="J17" s="2">
        <f>(I17*1.015)+(B13*1.1)</f>
        <v>1204.0790709394787</v>
      </c>
      <c r="K17" s="3">
        <f t="shared" si="0"/>
        <v>1222.1402570035707</v>
      </c>
      <c r="L17" s="3">
        <f t="shared" si="0"/>
        <v>1240.4723608586241</v>
      </c>
      <c r="M17" s="3">
        <f t="shared" si="0"/>
        <v>1259.0794462715035</v>
      </c>
      <c r="N17" s="3">
        <f t="shared" si="0"/>
        <v>1277.965637965576</v>
      </c>
      <c r="O17" s="2">
        <f t="shared" si="0"/>
        <v>1297.1351225350595</v>
      </c>
    </row>
    <row r="20" spans="7:17" ht="12.75">
      <c r="G20" s="2">
        <v>1000</v>
      </c>
      <c r="H20" s="2">
        <v>1015</v>
      </c>
      <c r="I20" s="2">
        <v>1030.225</v>
      </c>
      <c r="J20" s="2">
        <v>1045.6783749999995</v>
      </c>
      <c r="K20" s="2">
        <v>1061.3635506249993</v>
      </c>
      <c r="L20" s="2">
        <v>1094.6173372177075</v>
      </c>
      <c r="M20" s="2">
        <v>1111.036597275973</v>
      </c>
      <c r="N20" s="2">
        <v>1127.7021462351124</v>
      </c>
      <c r="O20" s="2">
        <v>1144.617678428639</v>
      </c>
      <c r="P20" s="2">
        <v>1161.7869436050685</v>
      </c>
      <c r="Q20" s="2">
        <v>1179.2137477591443</v>
      </c>
    </row>
    <row r="21" spans="1:17" ht="12.75">
      <c r="A21" t="s">
        <v>24</v>
      </c>
      <c r="G21" s="2">
        <v>1000</v>
      </c>
      <c r="H21" s="2">
        <v>1116.5</v>
      </c>
      <c r="I21" s="2">
        <v>1133.2475</v>
      </c>
      <c r="J21" s="2">
        <v>1150.2462124999997</v>
      </c>
      <c r="K21" s="2">
        <v>1167.4999056874997</v>
      </c>
      <c r="L21" s="2">
        <v>1204.0790709394787</v>
      </c>
      <c r="M21" s="2">
        <v>1222.1402570035707</v>
      </c>
      <c r="N21" s="2">
        <v>1240.4723608586241</v>
      </c>
      <c r="O21" s="2">
        <v>1259.0794462715035</v>
      </c>
      <c r="P21" s="2">
        <v>1277.965637965576</v>
      </c>
      <c r="Q21" s="2">
        <v>1297.1351225350595</v>
      </c>
    </row>
    <row r="22" ht="12.75">
      <c r="A22" t="s">
        <v>25</v>
      </c>
    </row>
    <row r="23" ht="12.75">
      <c r="A23" t="s">
        <v>28</v>
      </c>
    </row>
    <row r="24" ht="12.75">
      <c r="A24" t="s">
        <v>26</v>
      </c>
    </row>
    <row r="25" ht="12.75">
      <c r="A2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26" sqref="A26:D34"/>
    </sheetView>
  </sheetViews>
  <sheetFormatPr defaultColWidth="9.140625" defaultRowHeight="12.75"/>
  <cols>
    <col min="1" max="1" width="38.421875" style="0" bestFit="1" customWidth="1"/>
    <col min="3" max="3" width="24.57421875" style="0" bestFit="1" customWidth="1"/>
    <col min="4" max="4" width="69.00390625" style="0" bestFit="1" customWidth="1"/>
  </cols>
  <sheetData>
    <row r="1" ht="15">
      <c r="A1" s="20" t="s">
        <v>0</v>
      </c>
    </row>
    <row r="3" spans="1:4" ht="12.75">
      <c r="A3" s="19" t="s">
        <v>30</v>
      </c>
      <c r="B3" s="19"/>
      <c r="C3" s="19" t="s">
        <v>2</v>
      </c>
      <c r="D3" s="24"/>
    </row>
    <row r="4" spans="1:4" ht="12.75">
      <c r="A4" s="19" t="s">
        <v>63</v>
      </c>
      <c r="B4" s="19">
        <v>2.75</v>
      </c>
      <c r="C4" s="19" t="s">
        <v>1</v>
      </c>
      <c r="D4" s="24"/>
    </row>
    <row r="5" spans="1:4" ht="12.75">
      <c r="A5" s="19" t="s">
        <v>64</v>
      </c>
      <c r="B5" s="19">
        <f>0.5*2.75</f>
        <v>1.375</v>
      </c>
      <c r="C5" s="19" t="s">
        <v>1</v>
      </c>
      <c r="D5" s="24"/>
    </row>
    <row r="6" spans="1:4" s="21" customFormat="1" ht="12.75">
      <c r="A6" s="23" t="s">
        <v>24</v>
      </c>
      <c r="B6" s="23"/>
      <c r="C6" s="23"/>
      <c r="D6" s="23"/>
    </row>
    <row r="7" s="21" customFormat="1" ht="12.75">
      <c r="A7" s="21" t="s">
        <v>34</v>
      </c>
    </row>
    <row r="8" s="21" customFormat="1" ht="12.75">
      <c r="A8" s="21" t="s">
        <v>65</v>
      </c>
    </row>
    <row r="10" spans="1:4" ht="12.75">
      <c r="A10" s="7" t="s">
        <v>7</v>
      </c>
      <c r="B10" s="7"/>
      <c r="C10" s="7"/>
      <c r="D10" s="7"/>
    </row>
    <row r="11" spans="1:4" ht="12.75">
      <c r="A11" s="7" t="s">
        <v>8</v>
      </c>
      <c r="B11" s="7">
        <v>2.37</v>
      </c>
      <c r="C11" s="7" t="s">
        <v>1</v>
      </c>
      <c r="D11" s="7" t="s">
        <v>9</v>
      </c>
    </row>
    <row r="12" ht="12.75">
      <c r="A12" s="1" t="s">
        <v>24</v>
      </c>
    </row>
    <row r="13" ht="12.75">
      <c r="A13" t="s">
        <v>82</v>
      </c>
    </row>
    <row r="15" spans="1:3" s="13" customFormat="1" ht="12.75">
      <c r="A15" s="13" t="s">
        <v>59</v>
      </c>
      <c r="B15" s="22">
        <v>0.025</v>
      </c>
      <c r="C15" s="13" t="s">
        <v>66</v>
      </c>
    </row>
    <row r="16" ht="12.75">
      <c r="A16" s="1" t="s">
        <v>24</v>
      </c>
    </row>
    <row r="17" ht="12.75">
      <c r="A17" t="s">
        <v>39</v>
      </c>
    </row>
    <row r="18" ht="12.75">
      <c r="A18" t="s">
        <v>42</v>
      </c>
    </row>
    <row r="19" ht="12.75">
      <c r="A19" t="s">
        <v>40</v>
      </c>
    </row>
    <row r="20" ht="12.75">
      <c r="A20" t="s">
        <v>41</v>
      </c>
    </row>
    <row r="21" ht="12.75">
      <c r="A21" t="s">
        <v>83</v>
      </c>
    </row>
    <row r="23" ht="12.75">
      <c r="A23" t="s">
        <v>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B9">
      <selection activeCell="H34" sqref="H34"/>
    </sheetView>
  </sheetViews>
  <sheetFormatPr defaultColWidth="9.140625" defaultRowHeight="12.75"/>
  <cols>
    <col min="1" max="1" width="16.8515625" style="0" bestFit="1" customWidth="1"/>
    <col min="2" max="2" width="37.140625" style="0" bestFit="1" customWidth="1"/>
    <col min="3" max="3" width="5.57421875" style="0" bestFit="1" customWidth="1"/>
  </cols>
  <sheetData>
    <row r="1" ht="12.75">
      <c r="B1" s="9" t="s">
        <v>48</v>
      </c>
    </row>
    <row r="2" ht="12.75">
      <c r="B2" s="9" t="s">
        <v>85</v>
      </c>
    </row>
    <row r="3" spans="2:23" ht="12.75">
      <c r="B3" s="9"/>
      <c r="C3" s="9">
        <v>0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</row>
    <row r="4" spans="2:23" ht="12.75">
      <c r="B4" s="9" t="s">
        <v>31</v>
      </c>
      <c r="C4" s="10">
        <v>1000</v>
      </c>
      <c r="D4" s="10">
        <v>1015</v>
      </c>
      <c r="E4" s="10">
        <v>1030.225</v>
      </c>
      <c r="F4" s="10">
        <v>1045.6783749999995</v>
      </c>
      <c r="G4" s="10">
        <v>1061.3635506249993</v>
      </c>
      <c r="H4" s="10">
        <v>1094.6173372177075</v>
      </c>
      <c r="I4" s="10">
        <v>1111.036597275973</v>
      </c>
      <c r="J4" s="10">
        <v>1127.7021462351124</v>
      </c>
      <c r="K4" s="10">
        <v>1144.617678428639</v>
      </c>
      <c r="L4" s="10">
        <v>1161.7869436050685</v>
      </c>
      <c r="M4" s="10">
        <v>1179.2137477591443</v>
      </c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23" ht="12.75">
      <c r="B5" s="9" t="s">
        <v>32</v>
      </c>
      <c r="C5" s="10">
        <f>C6-C4</f>
        <v>0</v>
      </c>
      <c r="D5" s="10">
        <f aca="true" t="shared" si="0" ref="D5:M5">D6-D4</f>
        <v>101.5</v>
      </c>
      <c r="E5" s="10">
        <f t="shared" si="0"/>
        <v>103.02250000000004</v>
      </c>
      <c r="F5" s="10">
        <f t="shared" si="0"/>
        <v>104.56783750000022</v>
      </c>
      <c r="G5" s="10">
        <f t="shared" si="0"/>
        <v>106.13635506250034</v>
      </c>
      <c r="H5" s="10">
        <f t="shared" si="0"/>
        <v>109.46173372177122</v>
      </c>
      <c r="I5" s="10">
        <f t="shared" si="0"/>
        <v>111.10365972759769</v>
      </c>
      <c r="J5" s="10">
        <f t="shared" si="0"/>
        <v>112.77021462351172</v>
      </c>
      <c r="K5" s="10">
        <f t="shared" si="0"/>
        <v>114.46176784286445</v>
      </c>
      <c r="L5" s="10">
        <f t="shared" si="0"/>
        <v>116.1786943605075</v>
      </c>
      <c r="M5" s="10">
        <f t="shared" si="0"/>
        <v>117.92137477591518</v>
      </c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2.75">
      <c r="B6" s="9" t="s">
        <v>33</v>
      </c>
      <c r="C6" s="10">
        <v>1000</v>
      </c>
      <c r="D6" s="10">
        <v>1116.5</v>
      </c>
      <c r="E6" s="10">
        <v>1133.2475</v>
      </c>
      <c r="F6" s="10">
        <v>1150.2462124999997</v>
      </c>
      <c r="G6" s="10">
        <v>1167.4999056874997</v>
      </c>
      <c r="H6" s="10">
        <v>1204.0790709394787</v>
      </c>
      <c r="I6" s="10">
        <v>1222.1402570035707</v>
      </c>
      <c r="J6" s="10">
        <v>1240.4723608586241</v>
      </c>
      <c r="K6" s="10">
        <v>1259.0794462715035</v>
      </c>
      <c r="L6" s="10">
        <v>1277.965637965576</v>
      </c>
      <c r="M6" s="10">
        <v>1297.1351225350595</v>
      </c>
      <c r="N6" s="9"/>
      <c r="O6" s="9"/>
      <c r="P6" s="9"/>
      <c r="Q6" s="9"/>
      <c r="R6" s="9"/>
      <c r="S6" s="9"/>
      <c r="T6" s="9"/>
      <c r="U6" s="9"/>
      <c r="V6" s="9"/>
      <c r="W6" s="9"/>
    </row>
    <row r="8" spans="1:2" ht="13.5" thickBot="1">
      <c r="A8" s="41" t="s">
        <v>51</v>
      </c>
      <c r="B8" s="5" t="s">
        <v>47</v>
      </c>
    </row>
    <row r="9" spans="1:2" ht="14.25" thickBot="1" thickTop="1">
      <c r="A9" s="46">
        <v>2.75</v>
      </c>
      <c r="B9" s="5" t="s">
        <v>46</v>
      </c>
    </row>
    <row r="10" spans="2:23" ht="13.5" thickTop="1">
      <c r="B10" s="5"/>
      <c r="C10" s="5">
        <v>0</v>
      </c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5">
        <v>19</v>
      </c>
      <c r="W10" s="5">
        <v>20</v>
      </c>
    </row>
    <row r="11" spans="2:23" ht="12.75">
      <c r="B11" s="5" t="s">
        <v>31</v>
      </c>
      <c r="C11" s="6">
        <v>0</v>
      </c>
      <c r="D11" s="6">
        <f>D4*$A9</f>
        <v>2791.25</v>
      </c>
      <c r="E11" s="6">
        <f aca="true" t="shared" si="1" ref="E11:M11">E4*$A9</f>
        <v>2833.1187499999996</v>
      </c>
      <c r="F11" s="6">
        <f t="shared" si="1"/>
        <v>2875.6155312499986</v>
      </c>
      <c r="G11" s="6">
        <f t="shared" si="1"/>
        <v>2918.749764218748</v>
      </c>
      <c r="H11" s="6">
        <f t="shared" si="1"/>
        <v>3010.1976773486954</v>
      </c>
      <c r="I11" s="6">
        <f t="shared" si="1"/>
        <v>3055.350642508926</v>
      </c>
      <c r="J11" s="6">
        <f t="shared" si="1"/>
        <v>3101.180902146559</v>
      </c>
      <c r="K11" s="6">
        <f t="shared" si="1"/>
        <v>3147.698615678757</v>
      </c>
      <c r="L11" s="6">
        <f t="shared" si="1"/>
        <v>3194.9140949139382</v>
      </c>
      <c r="M11" s="6">
        <f t="shared" si="1"/>
        <v>3242.8378063376467</v>
      </c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23" ht="12.75">
      <c r="B12" s="5" t="s">
        <v>32</v>
      </c>
      <c r="C12" s="6">
        <v>0</v>
      </c>
      <c r="D12" s="6">
        <f>D5*0.5*$A9</f>
        <v>139.5625</v>
      </c>
      <c r="E12" s="6">
        <f aca="true" t="shared" si="2" ref="E12:M12">E5*0.5*$A9</f>
        <v>141.65593750000005</v>
      </c>
      <c r="F12" s="6">
        <f t="shared" si="2"/>
        <v>143.7807765625003</v>
      </c>
      <c r="G12" s="6">
        <f t="shared" si="2"/>
        <v>145.93748821093797</v>
      </c>
      <c r="H12" s="6">
        <f t="shared" si="2"/>
        <v>150.50988386743543</v>
      </c>
      <c r="I12" s="6">
        <f t="shared" si="2"/>
        <v>152.76753212544682</v>
      </c>
      <c r="J12" s="6">
        <f t="shared" si="2"/>
        <v>155.05904510732861</v>
      </c>
      <c r="K12" s="6">
        <f t="shared" si="2"/>
        <v>157.38493078393861</v>
      </c>
      <c r="L12" s="6">
        <f t="shared" si="2"/>
        <v>159.74570474569782</v>
      </c>
      <c r="M12" s="6">
        <f t="shared" si="2"/>
        <v>162.14189031688338</v>
      </c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2:23" ht="12.75">
      <c r="B13" s="5" t="s">
        <v>33</v>
      </c>
      <c r="C13" s="6">
        <v>0</v>
      </c>
      <c r="D13" s="6">
        <f>SUM(D11:D12)</f>
        <v>2930.8125</v>
      </c>
      <c r="E13" s="6">
        <f aca="true" t="shared" si="3" ref="E13:M13">SUM(E11:E12)</f>
        <v>2974.7746875</v>
      </c>
      <c r="F13" s="6">
        <f t="shared" si="3"/>
        <v>3019.396307812499</v>
      </c>
      <c r="G13" s="6">
        <f t="shared" si="3"/>
        <v>3064.687252429686</v>
      </c>
      <c r="H13" s="6">
        <f t="shared" si="3"/>
        <v>3160.7075612161307</v>
      </c>
      <c r="I13" s="6">
        <f t="shared" si="3"/>
        <v>3208.1181746343727</v>
      </c>
      <c r="J13" s="6">
        <f t="shared" si="3"/>
        <v>3256.2399472538877</v>
      </c>
      <c r="K13" s="6">
        <f t="shared" si="3"/>
        <v>3305.0835464626957</v>
      </c>
      <c r="L13" s="6">
        <f t="shared" si="3"/>
        <v>3354.659799659636</v>
      </c>
      <c r="M13" s="6">
        <f t="shared" si="3"/>
        <v>3404.97969665453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5" spans="1:2" ht="13.5" thickBot="1">
      <c r="A15" s="7" t="s">
        <v>52</v>
      </c>
      <c r="B15" s="7" t="s">
        <v>49</v>
      </c>
    </row>
    <row r="16" spans="1:2" ht="14.25" thickBot="1" thickTop="1">
      <c r="A16" s="45">
        <v>2.37</v>
      </c>
      <c r="B16" s="7" t="s">
        <v>50</v>
      </c>
    </row>
    <row r="17" spans="1:23" ht="13.5" thickTop="1">
      <c r="A17" s="7"/>
      <c r="B17" s="7"/>
      <c r="C17" s="7">
        <v>0</v>
      </c>
      <c r="D17" s="7">
        <v>1</v>
      </c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7">
        <v>11</v>
      </c>
      <c r="O17" s="7">
        <v>12</v>
      </c>
      <c r="P17" s="7">
        <v>13</v>
      </c>
      <c r="Q17" s="7">
        <v>14</v>
      </c>
      <c r="R17" s="7">
        <v>15</v>
      </c>
      <c r="S17" s="7">
        <v>16</v>
      </c>
      <c r="T17" s="7">
        <v>17</v>
      </c>
      <c r="U17" s="7">
        <v>18</v>
      </c>
      <c r="V17" s="7">
        <v>19</v>
      </c>
      <c r="W17" s="7">
        <v>20</v>
      </c>
    </row>
    <row r="18" spans="1:23" ht="12.75">
      <c r="A18" s="7"/>
      <c r="B18" s="7" t="s">
        <v>43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7"/>
      <c r="B19" s="7" t="s">
        <v>44</v>
      </c>
      <c r="C19" s="8">
        <f>C5*$A16</f>
        <v>0</v>
      </c>
      <c r="D19" s="8">
        <f aca="true" t="shared" si="4" ref="D19:M19">D5*$A16</f>
        <v>240.555</v>
      </c>
      <c r="E19" s="8">
        <f t="shared" si="4"/>
        <v>244.1633250000001</v>
      </c>
      <c r="F19" s="8">
        <f t="shared" si="4"/>
        <v>247.82577487500055</v>
      </c>
      <c r="G19" s="8">
        <f t="shared" si="4"/>
        <v>251.5431614981258</v>
      </c>
      <c r="H19" s="8">
        <f t="shared" si="4"/>
        <v>259.4243089205978</v>
      </c>
      <c r="I19" s="8">
        <f t="shared" si="4"/>
        <v>263.31567355440654</v>
      </c>
      <c r="J19" s="8">
        <f t="shared" si="4"/>
        <v>267.2654086577228</v>
      </c>
      <c r="K19" s="8">
        <f t="shared" si="4"/>
        <v>271.27438978758875</v>
      </c>
      <c r="L19" s="8">
        <f t="shared" si="4"/>
        <v>275.3435056344028</v>
      </c>
      <c r="M19" s="8">
        <f t="shared" si="4"/>
        <v>279.473658218919</v>
      </c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7"/>
      <c r="B20" s="7" t="s">
        <v>45</v>
      </c>
      <c r="C20" s="8">
        <f>SUM(C18:C19)</f>
        <v>0</v>
      </c>
      <c r="D20" s="8">
        <f aca="true" t="shared" si="5" ref="D20:M20">SUM(D18:D19)</f>
        <v>240.555</v>
      </c>
      <c r="E20" s="8">
        <f t="shared" si="5"/>
        <v>244.1633250000001</v>
      </c>
      <c r="F20" s="8">
        <f t="shared" si="5"/>
        <v>247.82577487500055</v>
      </c>
      <c r="G20" s="8">
        <f t="shared" si="5"/>
        <v>251.5431614981258</v>
      </c>
      <c r="H20" s="8">
        <f t="shared" si="5"/>
        <v>259.4243089205978</v>
      </c>
      <c r="I20" s="8">
        <f t="shared" si="5"/>
        <v>263.31567355440654</v>
      </c>
      <c r="J20" s="8">
        <f t="shared" si="5"/>
        <v>267.2654086577228</v>
      </c>
      <c r="K20" s="8">
        <f t="shared" si="5"/>
        <v>271.27438978758875</v>
      </c>
      <c r="L20" s="8">
        <f t="shared" si="5"/>
        <v>275.3435056344028</v>
      </c>
      <c r="M20" s="8">
        <f t="shared" si="5"/>
        <v>279.473658218919</v>
      </c>
      <c r="N20" s="8"/>
      <c r="O20" s="8"/>
      <c r="P20" s="8"/>
      <c r="Q20" s="8"/>
      <c r="R20" s="8"/>
      <c r="S20" s="8"/>
      <c r="T20" s="8"/>
      <c r="U20" s="8"/>
      <c r="V20" s="8"/>
      <c r="W20" s="8"/>
    </row>
    <row r="22" spans="1:23" s="48" customFormat="1" ht="12.75">
      <c r="A22" s="11" t="s">
        <v>58</v>
      </c>
      <c r="B22" s="11" t="s">
        <v>57</v>
      </c>
      <c r="C22" s="12">
        <f>C20+C13</f>
        <v>0</v>
      </c>
      <c r="D22" s="12">
        <f aca="true" t="shared" si="6" ref="D22:M22">D20+D13</f>
        <v>3171.3675</v>
      </c>
      <c r="E22" s="12">
        <f t="shared" si="6"/>
        <v>3218.9380125</v>
      </c>
      <c r="F22" s="12">
        <f t="shared" si="6"/>
        <v>3267.2220826874996</v>
      </c>
      <c r="G22" s="12">
        <f t="shared" si="6"/>
        <v>3316.2304139278117</v>
      </c>
      <c r="H22" s="12">
        <f t="shared" si="6"/>
        <v>3420.1318701367286</v>
      </c>
      <c r="I22" s="12">
        <f t="shared" si="6"/>
        <v>3471.4338481887794</v>
      </c>
      <c r="J22" s="12">
        <f t="shared" si="6"/>
        <v>3523.5053559116104</v>
      </c>
      <c r="K22" s="12">
        <f t="shared" si="6"/>
        <v>3576.3579362502846</v>
      </c>
      <c r="L22" s="12">
        <f t="shared" si="6"/>
        <v>3630.003305294039</v>
      </c>
      <c r="M22" s="12">
        <f t="shared" si="6"/>
        <v>3684.453354873449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4" spans="1:23" s="1" customFormat="1" ht="13.5" thickBot="1">
      <c r="A24" s="13" t="s">
        <v>59</v>
      </c>
      <c r="B24" s="13" t="s">
        <v>53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" customFormat="1" ht="14.25" thickBot="1" thickTop="1">
      <c r="A25" s="15">
        <v>2.5</v>
      </c>
      <c r="B25" s="13" t="s">
        <v>54</v>
      </c>
      <c r="C25" s="13"/>
      <c r="D25" s="14">
        <f>D22/(1+$A25/100)^D3</f>
        <v>3094.0170731707317</v>
      </c>
      <c r="E25" s="14">
        <f aca="true" t="shared" si="7" ref="E25:M25">E22/(1+$A25/100)^E3</f>
        <v>3063.831540749554</v>
      </c>
      <c r="F25" s="14">
        <f t="shared" si="7"/>
        <v>3033.940501327607</v>
      </c>
      <c r="G25" s="14">
        <f t="shared" si="7"/>
        <v>3004.3410818024595</v>
      </c>
      <c r="H25" s="14">
        <f t="shared" si="7"/>
        <v>3022.898217610304</v>
      </c>
      <c r="I25" s="14">
        <f t="shared" si="7"/>
        <v>2993.4065276823985</v>
      </c>
      <c r="J25" s="14">
        <f t="shared" si="7"/>
        <v>2964.202561558667</v>
      </c>
      <c r="K25" s="14">
        <f t="shared" si="7"/>
        <v>2935.2835121776075</v>
      </c>
      <c r="L25" s="14">
        <f t="shared" si="7"/>
        <v>2906.64659986368</v>
      </c>
      <c r="M25" s="14">
        <f t="shared" si="7"/>
        <v>2878.2890720601313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ht="13.5" thickTop="1"/>
    <row r="27" spans="2:4" ht="12.75">
      <c r="B27" s="17" t="s">
        <v>62</v>
      </c>
      <c r="C27" s="17"/>
      <c r="D27" s="18">
        <f>SUM(D25:W25)</f>
        <v>29896.856688003143</v>
      </c>
    </row>
    <row r="30" spans="1:4" ht="12.75">
      <c r="A30" s="16" t="s">
        <v>86</v>
      </c>
      <c r="B30" s="16" t="s">
        <v>55</v>
      </c>
      <c r="C30" s="16"/>
      <c r="D30" s="16"/>
    </row>
    <row r="31" spans="1:4" ht="13.5" thickBot="1">
      <c r="A31" s="16" t="s">
        <v>60</v>
      </c>
      <c r="B31" s="16" t="s">
        <v>56</v>
      </c>
      <c r="C31" s="16"/>
      <c r="D31" s="43">
        <f>D27*150*A32*A34</f>
        <v>1121132.1258001179</v>
      </c>
    </row>
    <row r="32" spans="1:9" ht="14.25" thickBot="1" thickTop="1">
      <c r="A32" s="47">
        <v>0.5</v>
      </c>
      <c r="B32" s="16"/>
      <c r="C32" s="16"/>
      <c r="D32" s="16"/>
      <c r="I32" s="44"/>
    </row>
    <row r="33" spans="1:4" ht="14.25" thickBot="1" thickTop="1">
      <c r="A33" s="16" t="s">
        <v>61</v>
      </c>
      <c r="B33" s="16"/>
      <c r="C33" s="16"/>
      <c r="D33" s="16"/>
    </row>
    <row r="34" spans="1:4" ht="14.25" thickBot="1" thickTop="1">
      <c r="A34" s="47">
        <v>0.5</v>
      </c>
      <c r="B34" s="16"/>
      <c r="C34" s="16"/>
      <c r="D34" s="16"/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6"/>
  <sheetViews>
    <sheetView workbookViewId="0" topLeftCell="A1">
      <selection activeCell="B24" sqref="B24:B27"/>
    </sheetView>
  </sheetViews>
  <sheetFormatPr defaultColWidth="9.140625" defaultRowHeight="12.75"/>
  <cols>
    <col min="2" max="2" width="17.57421875" style="0" bestFit="1" customWidth="1"/>
    <col min="3" max="3" width="16.7109375" style="0" customWidth="1"/>
    <col min="4" max="4" width="7.00390625" style="0" customWidth="1"/>
  </cols>
  <sheetData>
    <row r="2" ht="12.75">
      <c r="B2" t="s">
        <v>48</v>
      </c>
    </row>
    <row r="3" ht="12.75">
      <c r="B3" t="s">
        <v>72</v>
      </c>
    </row>
    <row r="4" ht="12.75">
      <c r="B4" t="s">
        <v>70</v>
      </c>
    </row>
    <row r="6" spans="2:14" ht="12.75">
      <c r="B6" s="25" t="s">
        <v>70</v>
      </c>
      <c r="C6" s="28">
        <v>0</v>
      </c>
      <c r="D6" s="28">
        <v>1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>
        <v>10</v>
      </c>
      <c r="N6" s="28">
        <v>11</v>
      </c>
    </row>
    <row r="7" spans="2:14" ht="14.25">
      <c r="B7" s="26" t="s">
        <v>35</v>
      </c>
      <c r="C7" s="31">
        <v>0</v>
      </c>
      <c r="D7" s="31">
        <v>300</v>
      </c>
      <c r="E7" s="31">
        <v>300</v>
      </c>
      <c r="F7" s="31">
        <v>300</v>
      </c>
      <c r="G7" s="31">
        <v>300</v>
      </c>
      <c r="H7" s="31">
        <v>300</v>
      </c>
      <c r="I7" s="31">
        <v>300</v>
      </c>
      <c r="J7" s="31">
        <v>300</v>
      </c>
      <c r="K7" s="31">
        <v>300</v>
      </c>
      <c r="L7" s="31">
        <v>300</v>
      </c>
      <c r="M7" s="31">
        <v>300</v>
      </c>
      <c r="N7" s="29"/>
    </row>
    <row r="8" spans="2:14" ht="14.25">
      <c r="B8" s="26" t="s">
        <v>36</v>
      </c>
      <c r="C8" s="31">
        <v>0</v>
      </c>
      <c r="D8" s="31">
        <v>60</v>
      </c>
      <c r="E8" s="31">
        <v>60</v>
      </c>
      <c r="F8" s="31">
        <v>60</v>
      </c>
      <c r="G8" s="31">
        <v>60</v>
      </c>
      <c r="H8" s="31">
        <v>60</v>
      </c>
      <c r="I8" s="31">
        <v>60</v>
      </c>
      <c r="J8" s="31">
        <v>60</v>
      </c>
      <c r="K8" s="31">
        <v>60</v>
      </c>
      <c r="L8" s="31">
        <v>60</v>
      </c>
      <c r="M8" s="31">
        <v>60</v>
      </c>
      <c r="N8" s="29"/>
    </row>
    <row r="9" spans="2:14" ht="14.25">
      <c r="B9" s="26" t="s">
        <v>37</v>
      </c>
      <c r="C9" s="31">
        <v>0</v>
      </c>
      <c r="D9" s="31">
        <v>500</v>
      </c>
      <c r="E9" s="31">
        <v>500</v>
      </c>
      <c r="F9" s="31">
        <v>500</v>
      </c>
      <c r="G9" s="31">
        <v>500</v>
      </c>
      <c r="H9" s="31">
        <v>500</v>
      </c>
      <c r="I9" s="31">
        <v>500</v>
      </c>
      <c r="J9" s="31">
        <v>500</v>
      </c>
      <c r="K9" s="31">
        <v>500</v>
      </c>
      <c r="L9" s="31">
        <v>500</v>
      </c>
      <c r="M9" s="31">
        <v>500</v>
      </c>
      <c r="N9" s="29"/>
    </row>
    <row r="10" spans="2:14" ht="14.25">
      <c r="B10" s="27" t="s">
        <v>33</v>
      </c>
      <c r="C10" s="34">
        <v>0</v>
      </c>
      <c r="D10" s="34">
        <v>860</v>
      </c>
      <c r="E10" s="34">
        <v>860</v>
      </c>
      <c r="F10" s="34">
        <v>860</v>
      </c>
      <c r="G10" s="34">
        <v>860</v>
      </c>
      <c r="H10" s="34">
        <v>860</v>
      </c>
      <c r="I10" s="34">
        <v>860</v>
      </c>
      <c r="J10" s="34">
        <v>860</v>
      </c>
      <c r="K10" s="34">
        <v>860</v>
      </c>
      <c r="L10" s="34">
        <v>860</v>
      </c>
      <c r="M10" s="34">
        <v>860</v>
      </c>
      <c r="N10" s="35"/>
    </row>
    <row r="12" spans="2:14" ht="12.75">
      <c r="B12" t="s">
        <v>38</v>
      </c>
      <c r="C12" s="28">
        <v>0</v>
      </c>
      <c r="D12" s="28">
        <v>1</v>
      </c>
      <c r="E12" s="28">
        <v>2</v>
      </c>
      <c r="F12" s="28">
        <v>3</v>
      </c>
      <c r="G12" s="28">
        <v>4</v>
      </c>
      <c r="H12" s="28">
        <v>5</v>
      </c>
      <c r="I12" s="28">
        <v>6</v>
      </c>
      <c r="J12" s="28">
        <v>7</v>
      </c>
      <c r="K12" s="28">
        <v>8</v>
      </c>
      <c r="L12" s="28">
        <v>9</v>
      </c>
      <c r="M12" s="28">
        <v>10</v>
      </c>
      <c r="N12" s="28">
        <v>11</v>
      </c>
    </row>
    <row r="13" spans="2:15" ht="14.25">
      <c r="B13" s="26" t="s">
        <v>73</v>
      </c>
      <c r="C13" s="26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"/>
    </row>
    <row r="14" spans="2:15" ht="14.25">
      <c r="B14" s="26" t="s">
        <v>74</v>
      </c>
      <c r="C14" s="31">
        <v>0</v>
      </c>
      <c r="D14" s="30">
        <v>1600</v>
      </c>
      <c r="E14" s="30">
        <v>1600</v>
      </c>
      <c r="F14" s="30">
        <v>1600</v>
      </c>
      <c r="G14" s="30">
        <v>1600</v>
      </c>
      <c r="H14" s="30">
        <v>1600</v>
      </c>
      <c r="I14" s="30">
        <v>1600</v>
      </c>
      <c r="J14" s="30">
        <v>1600</v>
      </c>
      <c r="K14" s="30">
        <v>1600</v>
      </c>
      <c r="L14" s="30">
        <v>1600</v>
      </c>
      <c r="M14" s="30">
        <v>1600</v>
      </c>
      <c r="N14" s="29"/>
      <c r="O14" s="2"/>
    </row>
    <row r="15" spans="2:14" ht="14.25">
      <c r="B15" s="26" t="s">
        <v>75</v>
      </c>
      <c r="C15" s="31">
        <v>0</v>
      </c>
      <c r="D15" s="31">
        <v>640</v>
      </c>
      <c r="E15" s="31">
        <v>640</v>
      </c>
      <c r="F15" s="31">
        <v>640</v>
      </c>
      <c r="G15" s="31">
        <v>640</v>
      </c>
      <c r="H15" s="31">
        <v>640</v>
      </c>
      <c r="I15" s="31">
        <v>640</v>
      </c>
      <c r="J15" s="31">
        <v>640</v>
      </c>
      <c r="K15" s="31">
        <v>640</v>
      </c>
      <c r="L15" s="31">
        <v>640</v>
      </c>
      <c r="M15" s="31">
        <v>640</v>
      </c>
      <c r="N15" s="29"/>
    </row>
    <row r="16" spans="2:14" ht="14.25">
      <c r="B16" s="26" t="s">
        <v>76</v>
      </c>
      <c r="C16" s="31">
        <v>0</v>
      </c>
      <c r="D16" s="30">
        <v>2500</v>
      </c>
      <c r="E16" s="30">
        <v>2500</v>
      </c>
      <c r="F16" s="30">
        <v>2500</v>
      </c>
      <c r="G16" s="30">
        <v>2500</v>
      </c>
      <c r="H16" s="30">
        <v>2500</v>
      </c>
      <c r="I16" s="30">
        <v>2500</v>
      </c>
      <c r="J16" s="30">
        <v>2500</v>
      </c>
      <c r="K16" s="30">
        <v>2500</v>
      </c>
      <c r="L16" s="30">
        <v>2500</v>
      </c>
      <c r="M16" s="30">
        <v>2500</v>
      </c>
      <c r="N16" s="29"/>
    </row>
    <row r="17" spans="2:14" ht="14.25">
      <c r="B17" s="32" t="s">
        <v>77</v>
      </c>
      <c r="C17" s="3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2:14" ht="12.75">
      <c r="B18" s="26" t="s">
        <v>78</v>
      </c>
      <c r="C18" s="31">
        <v>0</v>
      </c>
      <c r="D18" s="30">
        <v>1333</v>
      </c>
      <c r="E18" s="30">
        <v>1333</v>
      </c>
      <c r="F18" s="30">
        <v>1333</v>
      </c>
      <c r="G18" s="30">
        <v>1333</v>
      </c>
      <c r="H18" s="30">
        <v>1333</v>
      </c>
      <c r="I18" s="30">
        <v>1333</v>
      </c>
      <c r="J18" s="30">
        <v>1333</v>
      </c>
      <c r="K18" s="30">
        <v>1333</v>
      </c>
      <c r="L18" s="30">
        <v>1333</v>
      </c>
      <c r="M18" s="30">
        <v>1333</v>
      </c>
      <c r="N18" s="30">
        <v>6665</v>
      </c>
    </row>
    <row r="19" spans="2:14" ht="14.25">
      <c r="B19" s="26" t="s">
        <v>75</v>
      </c>
      <c r="C19" s="31">
        <v>0</v>
      </c>
      <c r="D19" s="31">
        <v>800</v>
      </c>
      <c r="E19" s="31">
        <v>800</v>
      </c>
      <c r="F19" s="31">
        <v>800</v>
      </c>
      <c r="G19" s="31">
        <v>800</v>
      </c>
      <c r="H19" s="31">
        <v>800</v>
      </c>
      <c r="I19" s="31">
        <v>800</v>
      </c>
      <c r="J19" s="31">
        <v>800</v>
      </c>
      <c r="K19" s="31">
        <v>800</v>
      </c>
      <c r="L19" s="31">
        <v>800</v>
      </c>
      <c r="M19" s="31">
        <v>800</v>
      </c>
      <c r="N19" s="29"/>
    </row>
    <row r="20" spans="2:14" ht="14.25">
      <c r="B20" s="26" t="s">
        <v>76</v>
      </c>
      <c r="C20" s="31">
        <v>0</v>
      </c>
      <c r="D20" s="30">
        <v>5000</v>
      </c>
      <c r="E20" s="30">
        <v>5000</v>
      </c>
      <c r="F20" s="30">
        <v>5000</v>
      </c>
      <c r="G20" s="30">
        <v>5000</v>
      </c>
      <c r="H20" s="30">
        <v>5000</v>
      </c>
      <c r="I20" s="30">
        <v>5000</v>
      </c>
      <c r="J20" s="30">
        <v>5000</v>
      </c>
      <c r="K20" s="30">
        <v>5000</v>
      </c>
      <c r="L20" s="30">
        <v>5000</v>
      </c>
      <c r="M20" s="30">
        <v>5000</v>
      </c>
      <c r="N20" s="29"/>
    </row>
    <row r="21" spans="2:14" ht="12.75">
      <c r="B21" s="27" t="s">
        <v>33</v>
      </c>
      <c r="C21" s="34">
        <v>0</v>
      </c>
      <c r="D21" s="33">
        <v>11873</v>
      </c>
      <c r="E21" s="33">
        <v>11873</v>
      </c>
      <c r="F21" s="33">
        <v>11873</v>
      </c>
      <c r="G21" s="33">
        <v>11873</v>
      </c>
      <c r="H21" s="33">
        <v>11873</v>
      </c>
      <c r="I21" s="33">
        <v>11873</v>
      </c>
      <c r="J21" s="33">
        <v>11873</v>
      </c>
      <c r="K21" s="33">
        <v>11873</v>
      </c>
      <c r="L21" s="33">
        <v>11873</v>
      </c>
      <c r="M21" s="33">
        <v>11873</v>
      </c>
      <c r="N21" s="33">
        <v>6665</v>
      </c>
    </row>
    <row r="24" ht="12.75">
      <c r="B24" s="37" t="s">
        <v>79</v>
      </c>
    </row>
    <row r="25" ht="12.75">
      <c r="B25" s="37" t="s">
        <v>54</v>
      </c>
    </row>
    <row r="26" spans="2:13" ht="12.75">
      <c r="B26" s="37" t="s">
        <v>70</v>
      </c>
      <c r="D26" s="14">
        <f>D10/(1+'Rekenschema baten'!$A25/100)^D6</f>
        <v>839.0243902439025</v>
      </c>
      <c r="E26" s="14">
        <f>E10/(1+'Rekenschema baten'!$A25/100)^E6</f>
        <v>818.5603807257586</v>
      </c>
      <c r="F26" s="14">
        <f>F10/(1+'Rekenschema baten'!$A25/100)^F6</f>
        <v>798.595493390984</v>
      </c>
      <c r="G26" s="14">
        <f>G10/(1+'Rekenschema baten'!$A25/100)^G6</f>
        <v>779.1175545277894</v>
      </c>
      <c r="H26" s="14">
        <f>H10/(1+'Rekenschema baten'!$A25/100)^H6</f>
        <v>760.1146873441847</v>
      </c>
      <c r="I26" s="14">
        <f>I10/(1+'Rekenschema baten'!$A25/100)^I6</f>
        <v>741.575304726034</v>
      </c>
      <c r="J26" s="14">
        <f>J10/(1+'Rekenschema baten'!$A25/100)^J6</f>
        <v>723.4881021717405</v>
      </c>
      <c r="K26" s="14">
        <f>K10/(1+'Rekenschema baten'!$A25/100)^K6</f>
        <v>705.842050899259</v>
      </c>
      <c r="L26" s="14">
        <f>L10/(1+'Rekenschema baten'!$A25/100)^L6</f>
        <v>688.6263911212284</v>
      </c>
      <c r="M26" s="14">
        <f>M10/(1+'Rekenschema baten'!$A25/100)^M6</f>
        <v>671.8306254841253</v>
      </c>
    </row>
    <row r="27" spans="2:14" ht="12.75">
      <c r="B27" s="37" t="s">
        <v>38</v>
      </c>
      <c r="D27" s="14">
        <f>D21/(1+'Rekenschema baten'!$A25/100)^D6</f>
        <v>11583.414634146342</v>
      </c>
      <c r="E27" s="14">
        <f>E21/(1+'Rekenschema baten'!$A25/100)^E6</f>
        <v>11300.892325996432</v>
      </c>
      <c r="F27" s="14">
        <f>F21/(1+'Rekenschema baten'!$A25/100)^F6</f>
        <v>11025.260805850177</v>
      </c>
      <c r="G27" s="14">
        <f>G21/(1+'Rekenschema baten'!$A25/100)^G6</f>
        <v>10756.352005707491</v>
      </c>
      <c r="H27" s="14">
        <f>H21/(1+'Rekenschema baten'!$A25/100)^H6</f>
        <v>10494.001956787797</v>
      </c>
      <c r="I27" s="14">
        <f>I21/(1+'Rekenschema baten'!$A25/100)^I6</f>
        <v>10238.05068954907</v>
      </c>
      <c r="J27" s="14">
        <f>J21/(1+'Rekenschema baten'!$A25/100)^J6</f>
        <v>9988.342136145435</v>
      </c>
      <c r="K27" s="14">
        <f>K21/(1+'Rekenschema baten'!$A25/100)^K6</f>
        <v>9744.72403526384</v>
      </c>
      <c r="L27" s="14">
        <f>L21/(1+'Rekenschema baten'!$A25/100)^L6</f>
        <v>9507.047839281797</v>
      </c>
      <c r="M27" s="14">
        <f>M21/(1+'Rekenschema baten'!$A25/100)^M6</f>
        <v>9275.168623689558</v>
      </c>
      <c r="N27" s="14">
        <f>N21/(1+'Rekenschema baten'!$A25/100)^N6</f>
        <v>5079.6949731726545</v>
      </c>
    </row>
    <row r="34" spans="2:4" ht="12.75">
      <c r="B34" s="37" t="s">
        <v>80</v>
      </c>
      <c r="D34" s="2">
        <f>SUM(D26:M26)</f>
        <v>7526.774980635007</v>
      </c>
    </row>
    <row r="35" spans="2:4" ht="12.75">
      <c r="B35" s="37" t="s">
        <v>81</v>
      </c>
      <c r="D35" s="2">
        <f>SUM(D27:M27)-N27</f>
        <v>98833.56007924528</v>
      </c>
    </row>
    <row r="36" spans="2:4" ht="12.75">
      <c r="B36" s="37" t="s">
        <v>71</v>
      </c>
      <c r="D36" s="42">
        <f>D35-D34</f>
        <v>91306.78509861027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C12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6.8515625" style="0" bestFit="1" customWidth="1"/>
    <col min="2" max="2" width="14.28125" style="0" customWidth="1"/>
  </cols>
  <sheetData>
    <row r="8" spans="2:3" ht="12.75">
      <c r="B8" s="38" t="s">
        <v>68</v>
      </c>
      <c r="C8" s="38" t="s">
        <v>69</v>
      </c>
    </row>
    <row r="9" spans="2:3" ht="12.75">
      <c r="B9" s="39">
        <f>'Rekenschema baten'!D31</f>
        <v>1121132.1258001179</v>
      </c>
      <c r="C9" s="39">
        <f>'Rekenschema kosten'!D36</f>
        <v>91306.78509861027</v>
      </c>
    </row>
    <row r="10" spans="2:3" ht="12.75">
      <c r="B10" s="38"/>
      <c r="C10" s="38"/>
    </row>
    <row r="12" spans="1:2" ht="15">
      <c r="A12" s="20" t="s">
        <v>67</v>
      </c>
      <c r="B12" s="40">
        <f>B9/C9</f>
        <v>12.278738371845073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RIKZ/DNZ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smeenkb</dc:creator>
  <cp:keywords/>
  <dc:description/>
  <cp:lastModifiedBy>Meijer</cp:lastModifiedBy>
  <cp:lastPrinted>2007-11-19T13:52:12Z</cp:lastPrinted>
  <dcterms:created xsi:type="dcterms:W3CDTF">2007-11-13T09:15:38Z</dcterms:created>
  <dcterms:modified xsi:type="dcterms:W3CDTF">2009-07-07T09:35:57Z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NewReviewCyc">
    <vt:lpwstr/>
  </property>
</Properties>
</file>