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588" yWindow="-12" windowWidth="9576" windowHeight="11640" firstSheet="2" activeTab="2"/>
  </bookViews>
  <sheets>
    <sheet name="logboek" sheetId="9" r:id="rId1"/>
    <sheet name="instructies" sheetId="7" r:id="rId2"/>
    <sheet name="invulblad" sheetId="1" r:id="rId3"/>
    <sheet name="rekenblad meren" sheetId="8" r:id="rId4"/>
    <sheet name="rekenblad kanalen" sheetId="2" r:id="rId5"/>
    <sheet name="Uitslag" sheetId="3" r:id="rId6"/>
    <sheet name="Onzekerheden" sheetId="4" r:id="rId7"/>
    <sheet name="Richtgetallen" sheetId="6" r:id="rId8"/>
    <sheet name="Normen" sheetId="5" r:id="rId9"/>
  </sheets>
  <definedNames>
    <definedName name="_xlnm.Print_Area" localSheetId="2">invulblad!$A$1:$J$36</definedName>
    <definedName name="_xlnm.Print_Area" localSheetId="5">Uitslag!$A$1:$P$34</definedName>
  </definedNames>
  <calcPr calcId="125725"/>
</workbook>
</file>

<file path=xl/calcChain.xml><?xml version="1.0" encoding="utf-8"?>
<calcChain xmlns="http://schemas.openxmlformats.org/spreadsheetml/2006/main">
  <c r="H43" i="8"/>
  <c r="M43" s="1"/>
  <c r="H43" i="2"/>
  <c r="B5" i="8"/>
  <c r="D44"/>
  <c r="H44"/>
  <c r="D45"/>
  <c r="N45" s="1"/>
  <c r="H45"/>
  <c r="D46"/>
  <c r="H46"/>
  <c r="D47"/>
  <c r="H47"/>
  <c r="B10"/>
  <c r="B31" s="1"/>
  <c r="D43"/>
  <c r="C43"/>
  <c r="C44"/>
  <c r="C45"/>
  <c r="M45" s="1"/>
  <c r="C46"/>
  <c r="C47"/>
  <c r="C31"/>
  <c r="H31"/>
  <c r="N31" s="1"/>
  <c r="D31"/>
  <c r="C32"/>
  <c r="H32"/>
  <c r="D32"/>
  <c r="C33"/>
  <c r="M33" s="1"/>
  <c r="H33"/>
  <c r="D33"/>
  <c r="C34"/>
  <c r="M34" s="1"/>
  <c r="D34"/>
  <c r="N34" s="1"/>
  <c r="C35"/>
  <c r="D35"/>
  <c r="N35" s="1"/>
  <c r="C36"/>
  <c r="M36" s="1"/>
  <c r="H36"/>
  <c r="D36"/>
  <c r="N36" s="1"/>
  <c r="C37"/>
  <c r="D37"/>
  <c r="N37" s="1"/>
  <c r="C38"/>
  <c r="M38" s="1"/>
  <c r="H38"/>
  <c r="D38"/>
  <c r="N38" s="1"/>
  <c r="B39"/>
  <c r="C39"/>
  <c r="H39"/>
  <c r="D39"/>
  <c r="N39"/>
  <c r="D30"/>
  <c r="H30"/>
  <c r="C30"/>
  <c r="C47" i="2"/>
  <c r="D47"/>
  <c r="A9" i="3"/>
  <c r="C37"/>
  <c r="D38" i="2"/>
  <c r="D5"/>
  <c r="B10" s="1"/>
  <c r="H38"/>
  <c r="A8" i="3"/>
  <c r="B6" i="2"/>
  <c r="B5"/>
  <c r="B8" s="1"/>
  <c r="B7"/>
  <c r="B8" i="8"/>
  <c r="C8" s="1"/>
  <c r="I22" s="1"/>
  <c r="B9"/>
  <c r="C26" i="2"/>
  <c r="H26"/>
  <c r="C26" i="8"/>
  <c r="C30" i="2"/>
  <c r="E30"/>
  <c r="B9"/>
  <c r="B45" s="1"/>
  <c r="H30"/>
  <c r="C31"/>
  <c r="B31"/>
  <c r="H31"/>
  <c r="C43"/>
  <c r="C44"/>
  <c r="C34"/>
  <c r="E34"/>
  <c r="B34"/>
  <c r="H34"/>
  <c r="C45"/>
  <c r="C46"/>
  <c r="C32"/>
  <c r="B32"/>
  <c r="H32"/>
  <c r="C33"/>
  <c r="E33"/>
  <c r="B33"/>
  <c r="H33"/>
  <c r="C35"/>
  <c r="C36"/>
  <c r="B36"/>
  <c r="J36" s="1"/>
  <c r="H36"/>
  <c r="C37"/>
  <c r="C38"/>
  <c r="C39"/>
  <c r="H39"/>
  <c r="D30"/>
  <c r="D34"/>
  <c r="D27"/>
  <c r="H27"/>
  <c r="B27" i="8"/>
  <c r="D27"/>
  <c r="D31" i="2"/>
  <c r="D43"/>
  <c r="D44"/>
  <c r="D45"/>
  <c r="D46"/>
  <c r="D32"/>
  <c r="D33"/>
  <c r="D35"/>
  <c r="D36"/>
  <c r="D37"/>
  <c r="D39"/>
  <c r="C27"/>
  <c r="C27" i="8"/>
  <c r="D26" i="2"/>
  <c r="D26" i="8"/>
  <c r="F36" i="2"/>
  <c r="F38"/>
  <c r="F37"/>
  <c r="F27"/>
  <c r="F26"/>
  <c r="H47"/>
  <c r="H46"/>
  <c r="F39"/>
  <c r="F35"/>
  <c r="F34"/>
  <c r="F33"/>
  <c r="F32"/>
  <c r="F31"/>
  <c r="B4"/>
  <c r="F30"/>
  <c r="B12" i="1"/>
  <c r="H44" i="2"/>
  <c r="H45"/>
  <c r="K6" i="8"/>
  <c r="B4"/>
  <c r="B6" s="1"/>
  <c r="B7"/>
  <c r="A32"/>
  <c r="A33"/>
  <c r="I7" i="4"/>
  <c r="I4"/>
  <c r="B10" i="1"/>
  <c r="B7"/>
  <c r="B9"/>
  <c r="A7" i="3"/>
  <c r="B8" i="1"/>
  <c r="B6"/>
  <c r="A25" i="4"/>
  <c r="A26"/>
  <c r="A24"/>
  <c r="A33" i="2"/>
  <c r="A32"/>
  <c r="N47" i="8"/>
  <c r="N44"/>
  <c r="B36"/>
  <c r="M39"/>
  <c r="M37"/>
  <c r="M35"/>
  <c r="M31"/>
  <c r="M44"/>
  <c r="C6" i="2"/>
  <c r="B44"/>
  <c r="D6"/>
  <c r="J23" s="1"/>
  <c r="I37" l="1"/>
  <c r="I33"/>
  <c r="I18" i="8"/>
  <c r="M32"/>
  <c r="M46"/>
  <c r="B26"/>
  <c r="J26" s="1"/>
  <c r="J32" i="2"/>
  <c r="I36"/>
  <c r="D8" i="8"/>
  <c r="M30"/>
  <c r="N32"/>
  <c r="B30" i="2"/>
  <c r="J30" s="1"/>
  <c r="B43" i="8"/>
  <c r="I43" s="1"/>
  <c r="N33"/>
  <c r="B34"/>
  <c r="B30"/>
  <c r="I30" s="1"/>
  <c r="C18" i="3" s="1"/>
  <c r="B47" i="8"/>
  <c r="J47" s="1"/>
  <c r="G32" i="3" s="1"/>
  <c r="B46" i="8"/>
  <c r="B38"/>
  <c r="I38" s="1"/>
  <c r="B45"/>
  <c r="J45" s="1"/>
  <c r="B44"/>
  <c r="J44" s="1"/>
  <c r="J37" i="2"/>
  <c r="I35"/>
  <c r="I22"/>
  <c r="N43" i="8"/>
  <c r="J43"/>
  <c r="I46"/>
  <c r="J34" i="2"/>
  <c r="I34"/>
  <c r="I23"/>
  <c r="I19"/>
  <c r="J19"/>
  <c r="I37" i="8"/>
  <c r="C30" i="3" s="1"/>
  <c r="F20" i="4" s="1"/>
  <c r="I27" i="8"/>
  <c r="I47"/>
  <c r="I35"/>
  <c r="C28" i="3" s="1"/>
  <c r="F18" i="4" s="1"/>
  <c r="I36" i="8"/>
  <c r="C29" i="3" s="1"/>
  <c r="F19" i="4" s="1"/>
  <c r="J35" i="8"/>
  <c r="J33" i="2"/>
  <c r="J18"/>
  <c r="J22"/>
  <c r="C15" i="3"/>
  <c r="D5" i="4" s="1"/>
  <c r="I31" i="2"/>
  <c r="I18"/>
  <c r="C14" i="3" s="1"/>
  <c r="D4" i="4" s="1"/>
  <c r="J35" i="2"/>
  <c r="J27" i="8"/>
  <c r="I45"/>
  <c r="J39"/>
  <c r="G33" i="3" s="1"/>
  <c r="J23" i="4" s="1"/>
  <c r="J31" i="2"/>
  <c r="I32"/>
  <c r="J31" i="8"/>
  <c r="G19" i="3" s="1"/>
  <c r="I31" i="8"/>
  <c r="C19" i="3" s="1"/>
  <c r="J39" i="2"/>
  <c r="B11"/>
  <c r="B27"/>
  <c r="B26"/>
  <c r="B38"/>
  <c r="I44"/>
  <c r="J46"/>
  <c r="J19" i="8"/>
  <c r="J22"/>
  <c r="J18"/>
  <c r="N46"/>
  <c r="J38"/>
  <c r="B46" i="2"/>
  <c r="B43"/>
  <c r="B33" i="8"/>
  <c r="J37"/>
  <c r="G30" i="3" s="1"/>
  <c r="B47" i="2"/>
  <c r="J36" i="8"/>
  <c r="G29" i="3" s="1"/>
  <c r="I23" i="8"/>
  <c r="E15" i="3" s="1"/>
  <c r="N30" i="8"/>
  <c r="I19"/>
  <c r="J23"/>
  <c r="I15" i="3" s="1"/>
  <c r="I39" i="8"/>
  <c r="J46"/>
  <c r="B39" i="2"/>
  <c r="I39" s="1"/>
  <c r="B32" i="8"/>
  <c r="M47"/>
  <c r="D19" i="4" l="1"/>
  <c r="D20"/>
  <c r="J22"/>
  <c r="H22"/>
  <c r="I30" i="2"/>
  <c r="I44" i="8"/>
  <c r="C22" i="3" s="1"/>
  <c r="J30" i="8"/>
  <c r="G18" i="3" s="1"/>
  <c r="J34" i="8"/>
  <c r="G23" i="3" s="1"/>
  <c r="H13" i="4" s="1"/>
  <c r="I34" i="8"/>
  <c r="C23" i="3" s="1"/>
  <c r="I26" i="8"/>
  <c r="J47" i="2"/>
  <c r="H23" i="4"/>
  <c r="D18"/>
  <c r="G24" i="3"/>
  <c r="H14" i="4" s="1"/>
  <c r="J13"/>
  <c r="I14" i="3"/>
  <c r="J4" i="4" s="1"/>
  <c r="E14" i="3"/>
  <c r="F4" i="4" s="1"/>
  <c r="G15" i="3"/>
  <c r="H5" i="4" s="1"/>
  <c r="C24" i="3"/>
  <c r="I17"/>
  <c r="J7" i="4" s="1"/>
  <c r="G14" i="3"/>
  <c r="H4" i="4" s="1"/>
  <c r="C21" i="3"/>
  <c r="C33"/>
  <c r="D23" i="4" s="1"/>
  <c r="G21" i="3"/>
  <c r="G25"/>
  <c r="H15" i="4" s="1"/>
  <c r="G28" i="3"/>
  <c r="J5" i="4"/>
  <c r="J19"/>
  <c r="H19"/>
  <c r="I46" i="2"/>
  <c r="C25" i="3" s="1"/>
  <c r="H20" i="4"/>
  <c r="J20"/>
  <c r="D8"/>
  <c r="F8"/>
  <c r="J45" i="2"/>
  <c r="I45"/>
  <c r="J44"/>
  <c r="G22" i="3" s="1"/>
  <c r="J43" i="2"/>
  <c r="I47"/>
  <c r="C32" i="3" s="1"/>
  <c r="I32" i="8"/>
  <c r="C26" i="3" s="1"/>
  <c r="J32" i="8"/>
  <c r="G26" i="3" s="1"/>
  <c r="I27" i="2"/>
  <c r="E17" i="3" s="1"/>
  <c r="F7" i="4" s="1"/>
  <c r="J27" i="2"/>
  <c r="H9" i="4"/>
  <c r="J9"/>
  <c r="F5"/>
  <c r="I26" i="2"/>
  <c r="J26"/>
  <c r="G17" i="3" s="1"/>
  <c r="H7" i="4" s="1"/>
  <c r="F9"/>
  <c r="D9"/>
  <c r="I43" i="2"/>
  <c r="J33" i="8"/>
  <c r="G27" i="3" s="1"/>
  <c r="I33" i="8"/>
  <c r="C27" i="3" s="1"/>
  <c r="J38" i="2"/>
  <c r="G31" i="3" s="1"/>
  <c r="I38" i="2"/>
  <c r="C31" i="3" s="1"/>
  <c r="C17" l="1"/>
  <c r="D7" i="4" s="1"/>
  <c r="J15"/>
  <c r="F12"/>
  <c r="D12"/>
  <c r="F23"/>
  <c r="J8"/>
  <c r="H8"/>
  <c r="D13"/>
  <c r="F13"/>
  <c r="F22"/>
  <c r="D22"/>
  <c r="H21"/>
  <c r="J21"/>
  <c r="L21" s="1"/>
  <c r="F15"/>
  <c r="D15"/>
  <c r="H11"/>
  <c r="J11"/>
  <c r="F14"/>
  <c r="D14"/>
  <c r="J18"/>
  <c r="H18"/>
  <c r="H12"/>
  <c r="J12"/>
  <c r="K20" i="3"/>
  <c r="J14" i="4"/>
  <c r="F11"/>
  <c r="D11"/>
  <c r="F21"/>
  <c r="D21"/>
  <c r="K16" i="3"/>
  <c r="M20"/>
  <c r="J17" i="4"/>
  <c r="H17"/>
  <c r="D16"/>
  <c r="F16"/>
  <c r="F17"/>
  <c r="D17"/>
  <c r="H16"/>
  <c r="J16"/>
  <c r="M16" i="3"/>
</calcChain>
</file>

<file path=xl/comments1.xml><?xml version="1.0" encoding="utf-8"?>
<comments xmlns="http://schemas.openxmlformats.org/spreadsheetml/2006/main">
  <authors>
    <author>p620812</author>
  </authors>
  <commentList>
    <comment ref="G12" authorId="0">
      <text>
        <r>
          <rPr>
            <b/>
            <sz val="8"/>
            <color indexed="81"/>
            <rFont val="Tahoma"/>
          </rPr>
          <t>Uitwisselingsdebiet met overig water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<sst xmlns="http://schemas.openxmlformats.org/spreadsheetml/2006/main" count="467" uniqueCount="287">
  <si>
    <t>Type systeem</t>
  </si>
  <si>
    <t>aantal bij extreme drukte</t>
  </si>
  <si>
    <t>Recreatievaart</t>
  </si>
  <si>
    <t>aantal boten per dag</t>
  </si>
  <si>
    <t>Afstand tot zwemplek (m)</t>
  </si>
  <si>
    <t>RWZI</t>
  </si>
  <si>
    <t>aantal hectare</t>
  </si>
  <si>
    <t>mestsoort</t>
  </si>
  <si>
    <t>Fysieke gegevens</t>
  </si>
  <si>
    <t>verblijftijd</t>
  </si>
  <si>
    <t>m3</t>
  </si>
  <si>
    <t>dagen</t>
  </si>
  <si>
    <t>potentiële diepte spronglaag</t>
  </si>
  <si>
    <t>Zwemmers</t>
  </si>
  <si>
    <t>Richtgetallen</t>
  </si>
  <si>
    <t>overstort gescheiden</t>
  </si>
  <si>
    <t>zwemmer</t>
  </si>
  <si>
    <t>KVE</t>
  </si>
  <si>
    <t>KVE/l</t>
  </si>
  <si>
    <t>stroomsnelheid</t>
  </si>
  <si>
    <t>mm/sec</t>
  </si>
  <si>
    <t>aannamen meren</t>
  </si>
  <si>
    <t>Diepte spronglaag</t>
  </si>
  <si>
    <t>aanname kanaal</t>
  </si>
  <si>
    <t>incidenteel</t>
  </si>
  <si>
    <t>meer</t>
  </si>
  <si>
    <t>kanaal</t>
  </si>
  <si>
    <t>dispersie coëfficiënt</t>
  </si>
  <si>
    <t>volume zwemzone</t>
  </si>
  <si>
    <t>dispersie coëfficiënt meer</t>
  </si>
  <si>
    <t>dispersie coeëfficient kanaal</t>
  </si>
  <si>
    <t>verblijftijd water in zwemzone kanaal</t>
  </si>
  <si>
    <t>uur</t>
  </si>
  <si>
    <t>(zwem breedte/kanaal breedte)^0.3</t>
  </si>
  <si>
    <t>C(gem)=exp(-afst*0.000287)*0.8</t>
  </si>
  <si>
    <t>continue</t>
  </si>
  <si>
    <t>Afstervingssnelheid</t>
  </si>
  <si>
    <t>1/dag</t>
  </si>
  <si>
    <t>bij recreatievaart volledige verdeling over kanaal</t>
  </si>
  <si>
    <t>effect recreatievaart langs kant</t>
  </si>
  <si>
    <t>4/1.87E8*lozing (KVE/sec)*exp(-.00048*afst)</t>
  </si>
  <si>
    <t>KVE/dag/boot</t>
  </si>
  <si>
    <t>Overstort gemengd stelsel</t>
  </si>
  <si>
    <t>Overstort gescheiden stelsel</t>
  </si>
  <si>
    <t>gemiddeld</t>
  </si>
  <si>
    <t>zeer druk</t>
  </si>
  <si>
    <t>afname in meer</t>
  </si>
  <si>
    <t>Ongezuiverde lozingen</t>
  </si>
  <si>
    <t>Afstromend wegwater</t>
  </si>
  <si>
    <t>Agrarisch achterland</t>
  </si>
  <si>
    <t>Beroepsvaart</t>
  </si>
  <si>
    <t>Jachthavens</t>
  </si>
  <si>
    <t>E. coli</t>
  </si>
  <si>
    <t>Enterokokken</t>
  </si>
  <si>
    <t>KVE/dag/bezoeker</t>
  </si>
  <si>
    <t>slachthuis/mestverwerking</t>
  </si>
  <si>
    <t>ongezuiverde lozing</t>
  </si>
  <si>
    <t>kve/l</t>
  </si>
  <si>
    <t>recreatievaart/beroepsvaart</t>
  </si>
  <si>
    <t>jachthaven</t>
  </si>
  <si>
    <t>watervogels</t>
  </si>
  <si>
    <t>overstort gemengd</t>
  </si>
  <si>
    <t>Lozingen slachthuis of mestverwerkend bedrijf</t>
  </si>
  <si>
    <t>RioolOverstort</t>
  </si>
  <si>
    <t>gemiddeld aantal per dag</t>
  </si>
  <si>
    <t>ZWEMPROF</t>
  </si>
  <si>
    <t>ZWEMwaterPROFielen</t>
  </si>
  <si>
    <t>BINNENWATEREN</t>
  </si>
  <si>
    <t>A</t>
  </si>
  <si>
    <t>B</t>
  </si>
  <si>
    <t>C</t>
  </si>
  <si>
    <t>D</t>
  </si>
  <si>
    <t>E</t>
  </si>
  <si>
    <t>Parameter</t>
  </si>
  <si>
    <t>Uitstekende kwaliteit</t>
  </si>
  <si>
    <t>Goede kwaliteit</t>
  </si>
  <si>
    <t>Bevredigende/</t>
  </si>
  <si>
    <t>aanvaardbare kwaliteit</t>
  </si>
  <si>
    <t>Referentie­methoden voor de analyse</t>
  </si>
  <si>
    <t>Intestinale enterokokken (I.E.) (kve/100 ml)</t>
  </si>
  <si>
    <t>ISO 7899-1 of</t>
  </si>
  <si>
    <t>ISO 7899-2</t>
  </si>
  <si>
    <t>Escherichia coli (E.C.) (kve/100 ml)</t>
  </si>
  <si>
    <t>ISO 9308-3 of ISO 9308-1</t>
  </si>
  <si>
    <t>KUSTWATEREN EN OVERGANGSWATEREN</t>
  </si>
  <si>
    <t xml:space="preserve"> E</t>
  </si>
  <si>
    <t>Referentiemethoden voor de analyse</t>
  </si>
  <si>
    <t>100 *</t>
  </si>
  <si>
    <t>200 *</t>
  </si>
  <si>
    <t>200**</t>
  </si>
  <si>
    <t>250 *</t>
  </si>
  <si>
    <t>500 *</t>
  </si>
  <si>
    <t>500**</t>
  </si>
  <si>
    <t>ISO 9308-3 of</t>
  </si>
  <si>
    <t>ISO 9308-1</t>
  </si>
  <si>
    <t>*</t>
  </si>
  <si>
    <t xml:space="preserve">Gebaseerd op een beoordeling van het 95-percentiel. Zie bijlage II. </t>
  </si>
  <si>
    <r>
      <t>*</t>
    </r>
    <r>
      <rPr>
        <vertAlign val="superscript"/>
        <sz val="10"/>
        <rFont val="Arial"/>
      </rPr>
      <t>*</t>
    </r>
  </si>
  <si>
    <t xml:space="preserve">Gebaseerd op een beoordeling van het 90-percentiel. Zie bijlage II. </t>
  </si>
  <si>
    <t>Bijdrage bronnen</t>
  </si>
  <si>
    <t>Onzekerheden bij de bijdrage van de bronnen</t>
  </si>
  <si>
    <t>gemengd stelsel</t>
  </si>
  <si>
    <t>gescheiden stelsel</t>
  </si>
  <si>
    <t>Ongezuiverde lozingen (incidenteel)</t>
  </si>
  <si>
    <t>Afstromend wegwater (incidenteel)</t>
  </si>
  <si>
    <t>Fractie naar zwemwater</t>
  </si>
  <si>
    <t>afstand</t>
  </si>
  <si>
    <t>fractie</t>
  </si>
  <si>
    <t>plas</t>
  </si>
  <si>
    <t xml:space="preserve">klei </t>
  </si>
  <si>
    <t>zand</t>
  </si>
  <si>
    <t>veen</t>
  </si>
  <si>
    <t>Diercategorie</t>
  </si>
  <si>
    <t>klei</t>
  </si>
  <si>
    <t>Geiten</t>
  </si>
  <si>
    <t>Kippen</t>
  </si>
  <si>
    <t>Melkkoeien</t>
  </si>
  <si>
    <t>Schapen</t>
  </si>
  <si>
    <t>Varkens</t>
  </si>
  <si>
    <t>Runderdrijfmest</t>
  </si>
  <si>
    <t>Varkensdrijfmest</t>
  </si>
  <si>
    <t>Intestinal enterococcen</t>
  </si>
  <si>
    <t xml:space="preserve">Uitspoeling in zomerhalfjaar </t>
  </si>
  <si>
    <t>KVE/halfjaar</t>
  </si>
  <si>
    <t>kve/vogel</t>
  </si>
  <si>
    <t>Uitgangspunt afbraak=0.4/d</t>
  </si>
  <si>
    <t>Formule kanaal continue belasting</t>
  </si>
  <si>
    <t>Formule kanaal incidentele belasting</t>
  </si>
  <si>
    <t>RWZI (continue)</t>
  </si>
  <si>
    <t xml:space="preserve">C=belasting(KVE/sec)/(Qin+Qkanaal)*exp(-tijd(=afst/snelheid)*afsterfte) * fractie </t>
  </si>
  <si>
    <t xml:space="preserve">Duur incidentele lozing </t>
  </si>
  <si>
    <t xml:space="preserve">C=vracht/duur/debiet*1000*exp(-tijd(=afst/snelheid)*afsterfte) * fractie </t>
  </si>
  <si>
    <t>keuzevelde invulblad</t>
  </si>
  <si>
    <t>type bron</t>
  </si>
  <si>
    <t>continue, piek incidenteel</t>
  </si>
  <si>
    <t>hydrologische  onzekerheden</t>
  </si>
  <si>
    <t>windmenging, stroming, fractie die bij zwemplaats aankomt</t>
  </si>
  <si>
    <t>windmenging, stroming, fractie die bij zwemplaats aankomt, onzekerheid uitwisseling</t>
  </si>
  <si>
    <t>windmenging, stroming, fractie die bij zwemplaats aankomt, uitloging</t>
  </si>
  <si>
    <t>windmenging, stroming, fractie die bij zwemplaats aankomt, grootte lozing</t>
  </si>
  <si>
    <t>windmenging, stroming, fractie die bij zwemplaats aankomt, verblijfduur</t>
  </si>
  <si>
    <t>grenswaarden kleuren</t>
  </si>
  <si>
    <t>minimaal</t>
  </si>
  <si>
    <t>maximaal</t>
  </si>
  <si>
    <t xml:space="preserve">Ongezuiverde lozingen                </t>
  </si>
  <si>
    <t>Naam locatie:</t>
  </si>
  <si>
    <t>Datum beoordeling:</t>
  </si>
  <si>
    <t>Geen invloed op zwemwaterkwaliteit (E.c &lt;200KVE/100ml)</t>
  </si>
  <si>
    <t>Geringe invloed op de zwemwaterkwaliteit (E.c tussen 200 en 500KVE/100ml)</t>
  </si>
  <si>
    <t>Grote invloed bron: maatregelen noodzakelijk (E.c &gt;900KVE/100ml)</t>
  </si>
  <si>
    <t>Wezenlijk invloed; gemiddelde onder de norm, maar incidenteel overschrijdingen te verwachten (E.c tussen 500 en 900KVE/100ml)</t>
  </si>
  <si>
    <t>totaal volume plas</t>
  </si>
  <si>
    <t>windmenging, stroming, fractie die bij zwemplaats aankomt, verblijfsuur, omzetting naar continue bron</t>
  </si>
  <si>
    <t>Formule plas continue belasting</t>
  </si>
  <si>
    <t>Formule plas incidentele belasting</t>
  </si>
  <si>
    <t>Beide formules zijn afgeleid uit 2D berekeningen</t>
  </si>
  <si>
    <t>Instructies spreadsheet:</t>
  </si>
  <si>
    <t>Inleiding</t>
  </si>
  <si>
    <t>Het is wel mogelijk om dit blad te bekijken. Het bevat de rekenformules waarmee de actuele concentraties bacteriën worden berekend.</t>
  </si>
  <si>
    <t>Hierin zijn aannamen verwerkt met betrekking tot onzekerheden in hydrologie, richtgetallen en weersgesteldheid.</t>
  </si>
  <si>
    <t>Op het invulblad worden alle gegevens van het oppervlaktewater opgenomen.</t>
  </si>
  <si>
    <t>Type en morfologie oppervlaktewater</t>
  </si>
  <si>
    <t>Afstand en bronnen van lozingen uit RWZI's, overstorten en andere lozingen</t>
  </si>
  <si>
    <t>Zwemmers en recreatievaart</t>
  </si>
  <si>
    <t>Diffuse bronnen zoals agrarische belasting, recreatievaart, beroepsvaart en watervogels.</t>
  </si>
  <si>
    <t>Bij lozingen in een plas waarin wordt gezwommen is deze factor uiteraard 1.</t>
  </si>
  <si>
    <t>De gebruiker moet deze waarde zelf inschatten. Op het blad "onzekerheden" is met deze factor rekening gehouden.</t>
  </si>
  <si>
    <t>Voor de bronnen zwemmers en recreatievaart zijn ook de toetsingswaarden voor drukke situaties weergegeven</t>
  </si>
  <si>
    <t>Instructie Invulblad</t>
  </si>
  <si>
    <t>Instructie Uitslag</t>
  </si>
  <si>
    <t>Indien geen gegevens van een bepaalde bron bekend zijn wordt aangeraden om nullen in te vullen.</t>
  </si>
  <si>
    <r>
      <t xml:space="preserve">Op het </t>
    </r>
    <r>
      <rPr>
        <u/>
        <sz val="10"/>
        <rFont val="Arial"/>
        <family val="2"/>
      </rPr>
      <t>invulblad</t>
    </r>
    <r>
      <rPr>
        <sz val="10"/>
        <rFont val="Arial"/>
      </rPr>
      <t xml:space="preserve"> worden de gegevens van het watersysteem ingevuld. Deze gegevens worden verwerkt op het </t>
    </r>
    <r>
      <rPr>
        <u/>
        <sz val="10"/>
        <rFont val="Arial"/>
        <family val="2"/>
      </rPr>
      <t>rekenblad.</t>
    </r>
    <r>
      <rPr>
        <sz val="10"/>
        <rFont val="Arial"/>
      </rPr>
      <t xml:space="preserve"> Dit blad is beschermd tegen overschrijven.</t>
    </r>
  </si>
  <si>
    <r>
      <t xml:space="preserve">Op het blad </t>
    </r>
    <r>
      <rPr>
        <u/>
        <sz val="10"/>
        <rFont val="Arial"/>
        <family val="2"/>
      </rPr>
      <t>onzekerheden</t>
    </r>
    <r>
      <rPr>
        <sz val="10"/>
        <rFont val="Arial"/>
      </rPr>
      <t xml:space="preserve"> wordt aangegeven wat de bandbreedte is van de uitkomsten. </t>
    </r>
  </si>
  <si>
    <r>
      <t xml:space="preserve">Op het blad </t>
    </r>
    <r>
      <rPr>
        <u/>
        <sz val="10"/>
        <rFont val="Arial"/>
        <family val="2"/>
      </rPr>
      <t>richtgetallen</t>
    </r>
    <r>
      <rPr>
        <sz val="10"/>
        <rFont val="Arial"/>
      </rPr>
      <t xml:space="preserve"> zijn de </t>
    </r>
    <r>
      <rPr>
        <sz val="10"/>
        <rFont val="Arial"/>
        <family val="2"/>
      </rPr>
      <t>richtgetallen</t>
    </r>
    <r>
      <rPr>
        <sz val="10"/>
        <rFont val="Arial"/>
      </rPr>
      <t xml:space="preserve"> weergegeven voor de verschillende bronnen. Ook dit blad is beschermd.</t>
    </r>
  </si>
  <si>
    <r>
      <t xml:space="preserve">Op het blad </t>
    </r>
    <r>
      <rPr>
        <u/>
        <sz val="10"/>
        <rFont val="Arial"/>
        <family val="2"/>
      </rPr>
      <t>normen</t>
    </r>
    <r>
      <rPr>
        <sz val="10"/>
        <rFont val="Arial"/>
      </rPr>
      <t xml:space="preserve"> staat nog een overzicht van de normen voor zwemwater</t>
    </r>
  </si>
  <si>
    <t xml:space="preserve">Er worden gegevens gevraagd voor de volgende onderwerpen: </t>
  </si>
  <si>
    <t>Het gebruik van het blad is simpel en over het algemeen eenduidig. De termen aantallen afstanden en debieten kunnen gewoon worden ingevuld.</t>
  </si>
  <si>
    <t>Met het onderdeel "fractie naar zwemwater" moet de gebruiker een schatting maken van de fractie van de lozing die naar de zwemplaats kan komen.</t>
  </si>
  <si>
    <r>
      <t>Op het blad uitslag staan in kleurcodes de</t>
    </r>
    <r>
      <rPr>
        <u/>
        <sz val="10"/>
        <rFont val="Arial"/>
        <family val="2"/>
      </rPr>
      <t xml:space="preserve"> resultaten per bron</t>
    </r>
    <r>
      <rPr>
        <sz val="10"/>
        <rFont val="Arial"/>
      </rPr>
      <t xml:space="preserve"> weergegeven. Aan de bovenzijde van de pagina staat een uitleg van de kleurcode.</t>
    </r>
  </si>
  <si>
    <r>
      <t xml:space="preserve">In de twee rechter kolommen wordt het </t>
    </r>
    <r>
      <rPr>
        <u/>
        <sz val="10"/>
        <rFont val="Arial"/>
        <family val="2"/>
      </rPr>
      <t>eindoordeel</t>
    </r>
    <r>
      <rPr>
        <sz val="10"/>
        <rFont val="Arial"/>
      </rPr>
      <t xml:space="preserve"> weergegeven, zowel voor de normale als de drukke situatie. Hierbij zijn alle bronnen opgeteld.</t>
    </r>
  </si>
  <si>
    <t>Lokale bron (continu)</t>
  </si>
  <si>
    <t>Lokale bron (Incidenteel)</t>
  </si>
  <si>
    <t>Lokale bron (incidenteel)</t>
  </si>
  <si>
    <t>Lokale bron (continue belasting)</t>
  </si>
  <si>
    <t>Agrarisch achterland (continue)</t>
  </si>
  <si>
    <t>E. Coli</t>
  </si>
  <si>
    <t xml:space="preserve">meer </t>
  </si>
  <si>
    <t>vracht/sec EC</t>
  </si>
  <si>
    <t>Vracht/sec IC</t>
  </si>
  <si>
    <t>gemiddeld EC</t>
  </si>
  <si>
    <t>zeer druk EC</t>
  </si>
  <si>
    <t>eindoordeel EC</t>
  </si>
  <si>
    <t>legenda EC</t>
  </si>
  <si>
    <t>EC</t>
  </si>
  <si>
    <t>Geen invloed op zwemwaterkwaliteit (IE &lt;100KVE/100ml)</t>
  </si>
  <si>
    <t>Geringe invloed op de zwemwaterkwaliteit (IE tussen 100 en 200KVE/100ml)</t>
  </si>
  <si>
    <t>Wezenlijk invloed; gemiddelde onder de norm, maar incidenteel overschrijdingen te verwachten (IE tussen 200 en 330KVE/100ml)</t>
  </si>
  <si>
    <t>Grote invloed bron: maatregelen noodzakelijk (IE &gt;330KVE/100ml)</t>
  </si>
  <si>
    <t>Indicatie risico's EC</t>
  </si>
  <si>
    <t>IE</t>
  </si>
  <si>
    <t>gemiddeld IE</t>
  </si>
  <si>
    <t>zeer druk IE</t>
  </si>
  <si>
    <t>Indicatie risico's IE</t>
  </si>
  <si>
    <t>Paarden</t>
  </si>
  <si>
    <t>C=191000/afstand (m)^1,2/diepte*vracht(KVE/sec)/1E6</t>
  </si>
  <si>
    <t>C=1750/afstand(m)^1,3/diepte*vracht(KVE)/1E10</t>
  </si>
  <si>
    <t>Het spreadsheet is opgebouwd uit 6 rekenbladen.</t>
  </si>
  <si>
    <r>
      <t xml:space="preserve">Op het blad </t>
    </r>
    <r>
      <rPr>
        <u/>
        <sz val="10"/>
        <rFont val="Arial"/>
        <family val="2"/>
      </rPr>
      <t>uitslag</t>
    </r>
    <r>
      <rPr>
        <sz val="10"/>
        <rFont val="Arial"/>
      </rPr>
      <t xml:space="preserve"> worden de toetsingsresultaten voor </t>
    </r>
    <r>
      <rPr>
        <i/>
        <sz val="10"/>
        <rFont val="Arial"/>
        <family val="2"/>
      </rPr>
      <t>E. coli</t>
    </r>
    <r>
      <rPr>
        <sz val="10"/>
        <rFont val="Arial"/>
      </rPr>
      <t xml:space="preserve"> weergegeven in kleurcodes </t>
    </r>
  </si>
  <si>
    <t>Dit speelt met name bij vertakte watersystemen. Het kan zijn dat de helft van de waterstroom via een vertakking afbuigt waardoor de helft daadwerkelijk aankomt op de zwemplek.</t>
  </si>
  <si>
    <t>mengend volume plas</t>
  </si>
  <si>
    <t>diepte=((lengte+breedte)/2)^0.3 of alternatief diepte=2.9694*ln(lengte/2+breedte/2)-9.69</t>
  </si>
  <si>
    <t>(zwem opp/tot opp)^0.3 empirisch uit 2d modellen</t>
  </si>
  <si>
    <t>Riooloverstort</t>
  </si>
  <si>
    <t>straal zwemzone</t>
  </si>
  <si>
    <t>Dieren op strand</t>
  </si>
  <si>
    <t>Incidentele bronnen</t>
  </si>
  <si>
    <t>vracht EC</t>
  </si>
  <si>
    <t>Vracht IC</t>
  </si>
  <si>
    <t>extreme drukte</t>
  </si>
  <si>
    <t>keuzeveld invulblad</t>
  </si>
  <si>
    <t>Overige continue lozingen</t>
  </si>
  <si>
    <t>vracht KVE/sec EC</t>
  </si>
  <si>
    <t>debiet lozing</t>
  </si>
  <si>
    <t>debiet kanaal</t>
  </si>
  <si>
    <t>m/dag</t>
  </si>
  <si>
    <t>vracht IC</t>
  </si>
  <si>
    <t>meter</t>
  </si>
  <si>
    <t>Prop volume</t>
  </si>
  <si>
    <t>Prop lengte</t>
  </si>
  <si>
    <t>Zwemmers verdeeld over zone</t>
  </si>
  <si>
    <t>Zwemmers op een kluitje</t>
  </si>
  <si>
    <t>Watervogels buiten zwemzone</t>
  </si>
  <si>
    <t>Watervogels binnen zwemzone</t>
  </si>
  <si>
    <t>Dieren op het strand buiten zwemzone</t>
  </si>
  <si>
    <t>Dieren op het strand binnen zwemzone</t>
  </si>
  <si>
    <t>Type en morfologie</t>
  </si>
  <si>
    <t>Incindentele bronnen</t>
  </si>
  <si>
    <t>concentratie</t>
  </si>
  <si>
    <t>-</t>
  </si>
  <si>
    <t>- concentratie E. coli (KVE/l)</t>
  </si>
  <si>
    <t>- concentratie enterokokken (KVE/l)</t>
  </si>
  <si>
    <t>- belasting E. coli (KVE/halfjaar)</t>
  </si>
  <si>
    <t>- belasting enterokokken (KVE/halfjaar)</t>
  </si>
  <si>
    <t>- aantal honden/dag</t>
  </si>
  <si>
    <t>- aantal paarden/dag</t>
  </si>
  <si>
    <t>- watervogels</t>
  </si>
  <si>
    <t>Dieren buiten zwemzone</t>
  </si>
  <si>
    <t>Dieren op het zwemstrand/zwemzone</t>
  </si>
  <si>
    <t>- aantal paarden/dagen</t>
  </si>
  <si>
    <t>aantal boten bij extreme drukte</t>
  </si>
  <si>
    <t>Continue bronnen</t>
  </si>
  <si>
    <t>debiet (m3/s)</t>
  </si>
  <si>
    <t>overstort-volume (m3)</t>
  </si>
  <si>
    <t>Schepen</t>
  </si>
  <si>
    <t>- recreatievaart</t>
  </si>
  <si>
    <t>- beroepsvaart</t>
  </si>
  <si>
    <t>- RWZI</t>
  </si>
  <si>
    <t>- overstort gemengd stelsel</t>
  </si>
  <si>
    <t>- ongezuiverde lozingen</t>
  </si>
  <si>
    <t>- afstromend wegwater</t>
  </si>
  <si>
    <t>- lozingen slachthuis of mestverwerkend bedrijf</t>
  </si>
  <si>
    <t>- jachthavens (continue belasting)</t>
  </si>
  <si>
    <t>bodemtype</t>
  </si>
  <si>
    <t>Dieren op strand/zwemzone</t>
  </si>
  <si>
    <t>Watervogels op stand/zwemzone</t>
  </si>
  <si>
    <t>- overstort gescheiden stelsel</t>
  </si>
  <si>
    <t>gemiddelde diepte in zwemzone (m)</t>
  </si>
  <si>
    <t>zwemmers op een kluitje</t>
  </si>
  <si>
    <t>zwemmers verspeid over zwemzone</t>
  </si>
  <si>
    <t>- lay-out gewijzigd</t>
  </si>
  <si>
    <t>- differentie in variabel dieren toegevoegd</t>
  </si>
  <si>
    <t>- differentiatie in variabele watervogels toegevoegd</t>
  </si>
  <si>
    <t>- formule aangepast voor volume-berekening zwemzone</t>
  </si>
  <si>
    <t>- differentie in zonering van de zwemmers</t>
  </si>
  <si>
    <t>- een engelstalige versie opgesteld</t>
  </si>
  <si>
    <t>legenda IE</t>
  </si>
  <si>
    <t>eindscore IE</t>
  </si>
  <si>
    <t>eindscore  IE</t>
  </si>
  <si>
    <t>Voor de zwemmers is berekend wat zou gebeuren als alle zwemmers bij elkaar zwemmen en als ze verspreid over de zwemzone zwemmen</t>
  </si>
  <si>
    <t>Voor dieren is nagegaan wat de conentratie zou zijn indien alle dieren zich bij elkaar IN de zwemzone bevinden.</t>
  </si>
  <si>
    <t>Deze twee varianten moeten worden gezien als de mogelijke variatie binnen de zwemzone</t>
  </si>
  <si>
    <t>drukke dag</t>
  </si>
  <si>
    <r>
      <t>Voor de twee bronnen die mogelijk in de zwemzone liggen: d</t>
    </r>
    <r>
      <rPr>
        <u/>
        <sz val="10"/>
        <rFont val="Arial"/>
        <family val="2"/>
      </rPr>
      <t>e zwemmers en de dieren in de zwemzone zijn twee varianten</t>
    </r>
    <r>
      <rPr>
        <sz val="10"/>
        <rFont val="Arial"/>
      </rPr>
      <t xml:space="preserve"> uitgewerkt.</t>
    </r>
  </si>
  <si>
    <t>Driehoeksplas</t>
  </si>
  <si>
    <t>conc (KVE/l)</t>
  </si>
  <si>
    <t>Controle volledige menging plas</t>
  </si>
  <si>
    <t>Update naar versie 2.6. In cel H43 in de tabbladen rekenblad meren en rekenblad kanalen staat een foute verwijzing. Dit is gecorrigeerd.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</si>
</sst>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26">
    <font>
      <sz val="10"/>
      <name val="Arial"/>
    </font>
    <font>
      <sz val="10"/>
      <name val="Arial"/>
    </font>
    <font>
      <sz val="8"/>
      <name val="Arial"/>
    </font>
    <font>
      <sz val="10"/>
      <color indexed="9"/>
      <name val="Arial"/>
    </font>
    <font>
      <sz val="10"/>
      <color indexed="15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u/>
      <sz val="10"/>
      <name val="Arial"/>
    </font>
    <font>
      <vertAlign val="superscript"/>
      <sz val="10"/>
      <name val="Arial"/>
    </font>
    <font>
      <b/>
      <sz val="14"/>
      <name val="Arial"/>
      <family val="2"/>
    </font>
    <font>
      <i/>
      <sz val="10"/>
      <name val="Garamond"/>
      <family val="1"/>
    </font>
    <font>
      <sz val="10"/>
      <name val="Garamond"/>
      <family val="1"/>
    </font>
    <font>
      <i/>
      <sz val="12"/>
      <name val="Arial"/>
      <family val="2"/>
    </font>
    <font>
      <sz val="11"/>
      <name val="Arial"/>
    </font>
    <font>
      <b/>
      <sz val="1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9"/>
      <name val="Arial"/>
    </font>
    <font>
      <b/>
      <sz val="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64"/>
      </right>
      <top style="thin">
        <color indexed="26"/>
      </top>
      <bottom/>
      <diagonal/>
    </border>
    <border>
      <left style="thin">
        <color indexed="2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6"/>
      </top>
      <bottom style="thin">
        <color indexed="64"/>
      </bottom>
      <diagonal/>
    </border>
    <border>
      <left style="thin">
        <color indexed="26"/>
      </left>
      <right style="thin">
        <color indexed="64"/>
      </right>
      <top style="thin">
        <color indexed="26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11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/>
    <xf numFmtId="1" fontId="4" fillId="2" borderId="0" xfId="0" applyNumberFormat="1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Alignment="1">
      <alignment horizontal="left" indent="3"/>
    </xf>
    <xf numFmtId="0" fontId="11" fillId="0" borderId="0" xfId="0" applyFont="1"/>
    <xf numFmtId="11" fontId="8" fillId="0" borderId="0" xfId="0" applyNumberFormat="1" applyFont="1"/>
    <xf numFmtId="0" fontId="12" fillId="0" borderId="0" xfId="0" applyFont="1" applyAlignment="1">
      <alignment horizontal="justify"/>
    </xf>
    <xf numFmtId="0" fontId="0" fillId="0" borderId="0" xfId="0" applyBorder="1"/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justify" vertical="top" wrapText="1"/>
    </xf>
    <xf numFmtId="0" fontId="14" fillId="0" borderId="0" xfId="0" applyFont="1"/>
    <xf numFmtId="0" fontId="15" fillId="0" borderId="0" xfId="0" applyFont="1"/>
    <xf numFmtId="0" fontId="12" fillId="0" borderId="0" xfId="0" applyFont="1" applyBorder="1" applyAlignment="1">
      <alignment horizontal="justify"/>
    </xf>
    <xf numFmtId="11" fontId="13" fillId="0" borderId="0" xfId="0" applyNumberFormat="1" applyFont="1" applyBorder="1" applyAlignment="1">
      <alignment horizontal="center"/>
    </xf>
    <xf numFmtId="0" fontId="16" fillId="0" borderId="0" xfId="0" applyFont="1"/>
    <xf numFmtId="1" fontId="8" fillId="0" borderId="0" xfId="0" applyNumberFormat="1" applyFont="1"/>
    <xf numFmtId="0" fontId="0" fillId="0" borderId="0" xfId="0" applyFill="1"/>
    <xf numFmtId="11" fontId="0" fillId="0" borderId="0" xfId="0" applyNumberFormat="1" applyFill="1"/>
    <xf numFmtId="2" fontId="0" fillId="0" borderId="0" xfId="0" applyNumberFormat="1" applyFill="1"/>
    <xf numFmtId="164" fontId="0" fillId="0" borderId="0" xfId="0" applyNumberFormat="1" applyFill="1"/>
    <xf numFmtId="0" fontId="4" fillId="0" borderId="0" xfId="0" applyFont="1"/>
    <xf numFmtId="1" fontId="0" fillId="0" borderId="0" xfId="0" applyNumberFormat="1"/>
    <xf numFmtId="0" fontId="1" fillId="0" borderId="0" xfId="0" applyFont="1"/>
    <xf numFmtId="1" fontId="4" fillId="0" borderId="0" xfId="0" applyNumberFormat="1" applyFont="1" applyFill="1"/>
    <xf numFmtId="0" fontId="4" fillId="0" borderId="0" xfId="0" applyFont="1" applyFill="1"/>
    <xf numFmtId="1" fontId="4" fillId="0" borderId="0" xfId="0" applyNumberFormat="1" applyFont="1"/>
    <xf numFmtId="0" fontId="0" fillId="0" borderId="0" xfId="0" applyNumberFormat="1"/>
    <xf numFmtId="2" fontId="8" fillId="0" borderId="0" xfId="0" applyNumberFormat="1" applyFont="1"/>
    <xf numFmtId="11" fontId="0" fillId="0" borderId="0" xfId="0" applyNumberFormat="1" applyAlignment="1">
      <alignment horizontal="center"/>
    </xf>
    <xf numFmtId="11" fontId="5" fillId="0" borderId="0" xfId="0" applyNumberFormat="1" applyFont="1"/>
    <xf numFmtId="0" fontId="0" fillId="0" borderId="0" xfId="0" quotePrefix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/>
    <xf numFmtId="0" fontId="19" fillId="0" borderId="0" xfId="0" applyFont="1" applyFill="1" applyBorder="1"/>
    <xf numFmtId="0" fontId="19" fillId="0" borderId="8" xfId="0" applyFont="1" applyBorder="1"/>
    <xf numFmtId="0" fontId="19" fillId="0" borderId="9" xfId="0" applyFont="1" applyBorder="1"/>
    <xf numFmtId="0" fontId="23" fillId="0" borderId="0" xfId="0" applyFont="1"/>
    <xf numFmtId="0" fontId="19" fillId="0" borderId="0" xfId="0" applyFont="1" applyBorder="1" applyAlignment="1">
      <alignment wrapText="1"/>
    </xf>
    <xf numFmtId="0" fontId="19" fillId="0" borderId="9" xfId="0" applyFont="1" applyFill="1" applyBorder="1"/>
    <xf numFmtId="0" fontId="19" fillId="0" borderId="0" xfId="0" applyFont="1" applyBorder="1" applyAlignment="1">
      <alignment horizontal="right" wrapText="1"/>
    </xf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0" borderId="14" xfId="0" applyFont="1" applyBorder="1"/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5" xfId="0" applyFont="1" applyBorder="1" applyAlignment="1">
      <alignment horizontal="right" wrapText="1"/>
    </xf>
    <xf numFmtId="0" fontId="0" fillId="0" borderId="16" xfId="0" applyBorder="1"/>
    <xf numFmtId="0" fontId="19" fillId="0" borderId="8" xfId="0" applyFont="1" applyBorder="1" applyAlignment="1">
      <alignment horizontal="right" wrapText="1"/>
    </xf>
    <xf numFmtId="0" fontId="19" fillId="0" borderId="17" xfId="0" applyFont="1" applyBorder="1"/>
    <xf numFmtId="0" fontId="0" fillId="0" borderId="17" xfId="0" applyBorder="1"/>
    <xf numFmtId="0" fontId="0" fillId="0" borderId="14" xfId="0" applyBorder="1"/>
    <xf numFmtId="0" fontId="20" fillId="0" borderId="15" xfId="0" applyFont="1" applyBorder="1"/>
    <xf numFmtId="0" fontId="19" fillId="0" borderId="8" xfId="0" quotePrefix="1" applyFont="1" applyFill="1" applyBorder="1" applyAlignment="1">
      <alignment vertical="justify" wrapText="1"/>
    </xf>
    <xf numFmtId="0" fontId="19" fillId="0" borderId="16" xfId="0" quotePrefix="1" applyFont="1" applyFill="1" applyBorder="1" applyAlignment="1">
      <alignment vertical="justify" wrapText="1"/>
    </xf>
    <xf numFmtId="0" fontId="19" fillId="0" borderId="8" xfId="0" quotePrefix="1" applyFont="1" applyFill="1" applyBorder="1"/>
    <xf numFmtId="0" fontId="20" fillId="0" borderId="8" xfId="0" applyFont="1" applyBorder="1"/>
    <xf numFmtId="0" fontId="19" fillId="0" borderId="8" xfId="0" quotePrefix="1" applyFont="1" applyBorder="1"/>
    <xf numFmtId="0" fontId="19" fillId="0" borderId="16" xfId="0" quotePrefix="1" applyFont="1" applyBorder="1"/>
    <xf numFmtId="0" fontId="20" fillId="0" borderId="10" xfId="0" applyFont="1" applyBorder="1"/>
    <xf numFmtId="0" fontId="19" fillId="0" borderId="12" xfId="0" applyFont="1" applyFill="1" applyBorder="1"/>
    <xf numFmtId="0" fontId="19" fillId="0" borderId="12" xfId="0" quotePrefix="1" applyFont="1" applyFill="1" applyBorder="1" applyAlignment="1">
      <alignment horizontal="right"/>
    </xf>
    <xf numFmtId="0" fontId="19" fillId="0" borderId="14" xfId="0" quotePrefix="1" applyFont="1" applyFill="1" applyBorder="1" applyAlignment="1">
      <alignment horizontal="right"/>
    </xf>
    <xf numFmtId="0" fontId="19" fillId="0" borderId="18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11" xfId="0" applyFont="1" applyBorder="1" applyAlignment="1">
      <alignment horizontal="right" wrapText="1"/>
    </xf>
    <xf numFmtId="0" fontId="19" fillId="0" borderId="12" xfId="0" applyFont="1" applyBorder="1" applyAlignment="1">
      <alignment wrapText="1"/>
    </xf>
    <xf numFmtId="0" fontId="0" fillId="0" borderId="12" xfId="0" applyBorder="1"/>
    <xf numFmtId="0" fontId="19" fillId="0" borderId="16" xfId="0" applyFont="1" applyBorder="1"/>
    <xf numFmtId="0" fontId="24" fillId="0" borderId="16" xfId="0" quotePrefix="1" applyFont="1" applyBorder="1"/>
    <xf numFmtId="0" fontId="24" fillId="0" borderId="8" xfId="0" quotePrefix="1" applyFont="1" applyBorder="1"/>
    <xf numFmtId="0" fontId="20" fillId="0" borderId="15" xfId="0" applyFont="1" applyFill="1" applyBorder="1"/>
    <xf numFmtId="0" fontId="19" fillId="0" borderId="16" xfId="0" applyFont="1" applyFill="1" applyBorder="1"/>
    <xf numFmtId="0" fontId="19" fillId="0" borderId="11" xfId="0" quotePrefix="1" applyFont="1" applyBorder="1" applyAlignment="1">
      <alignment horizontal="right"/>
    </xf>
    <xf numFmtId="0" fontId="19" fillId="0" borderId="10" xfId="0" quotePrefix="1" applyFont="1" applyBorder="1" applyAlignment="1">
      <alignment horizontal="right"/>
    </xf>
    <xf numFmtId="0" fontId="19" fillId="0" borderId="9" xfId="0" quotePrefix="1" applyFont="1" applyBorder="1" applyAlignment="1">
      <alignment horizontal="right"/>
    </xf>
    <xf numFmtId="0" fontId="19" fillId="0" borderId="0" xfId="0" quotePrefix="1" applyFont="1" applyFill="1" applyBorder="1" applyAlignment="1">
      <alignment horizontal="right"/>
    </xf>
    <xf numFmtId="0" fontId="19" fillId="0" borderId="9" xfId="0" quotePrefix="1" applyFont="1" applyFill="1" applyBorder="1" applyAlignment="1">
      <alignment horizontal="right"/>
    </xf>
    <xf numFmtId="0" fontId="19" fillId="0" borderId="13" xfId="0" quotePrefix="1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8" xfId="0" quotePrefix="1" applyFont="1" applyBorder="1" applyAlignment="1">
      <alignment horizontal="right"/>
    </xf>
    <xf numFmtId="0" fontId="19" fillId="0" borderId="12" xfId="0" quotePrefix="1" applyFont="1" applyBorder="1" applyAlignment="1">
      <alignment horizontal="right"/>
    </xf>
    <xf numFmtId="0" fontId="19" fillId="0" borderId="16" xfId="0" quotePrefix="1" applyFont="1" applyBorder="1" applyAlignment="1">
      <alignment horizontal="right"/>
    </xf>
    <xf numFmtId="0" fontId="19" fillId="0" borderId="13" xfId="0" quotePrefix="1" applyFont="1" applyBorder="1" applyAlignment="1">
      <alignment horizontal="right"/>
    </xf>
    <xf numFmtId="0" fontId="19" fillId="0" borderId="14" xfId="0" quotePrefix="1" applyFont="1" applyBorder="1" applyAlignment="1">
      <alignment horizontal="right"/>
    </xf>
    <xf numFmtId="0" fontId="19" fillId="0" borderId="12" xfId="0" applyFont="1" applyBorder="1" applyAlignment="1">
      <alignment horizontal="right" wrapText="1"/>
    </xf>
    <xf numFmtId="1" fontId="19" fillId="0" borderId="10" xfId="0" quotePrefix="1" applyNumberFormat="1" applyFont="1" applyBorder="1" applyAlignment="1">
      <alignment horizontal="right"/>
    </xf>
    <xf numFmtId="0" fontId="0" fillId="0" borderId="10" xfId="0" quotePrefix="1" applyBorder="1" applyAlignment="1">
      <alignment horizontal="right"/>
    </xf>
    <xf numFmtId="0" fontId="0" fillId="0" borderId="9" xfId="0" quotePrefix="1" applyBorder="1" applyAlignment="1">
      <alignment horizontal="right"/>
    </xf>
    <xf numFmtId="0" fontId="0" fillId="0" borderId="13" xfId="0" quotePrefix="1" applyBorder="1" applyAlignment="1">
      <alignment horizontal="right"/>
    </xf>
    <xf numFmtId="0" fontId="19" fillId="0" borderId="1" xfId="0" applyFont="1" applyBorder="1" applyAlignment="1">
      <alignment wrapText="1"/>
    </xf>
    <xf numFmtId="0" fontId="19" fillId="0" borderId="10" xfId="0" quotePrefix="1" applyFont="1" applyBorder="1" applyAlignment="1">
      <alignment horizontal="right" wrapText="1"/>
    </xf>
    <xf numFmtId="0" fontId="19" fillId="0" borderId="11" xfId="0" quotePrefix="1" applyFont="1" applyBorder="1" applyAlignment="1">
      <alignment horizontal="right" wrapText="1"/>
    </xf>
    <xf numFmtId="1" fontId="19" fillId="0" borderId="11" xfId="0" applyNumberFormat="1" applyFont="1" applyBorder="1" applyAlignment="1">
      <alignment horizontal="right" wrapText="1"/>
    </xf>
    <xf numFmtId="0" fontId="25" fillId="0" borderId="0" xfId="0" applyFont="1"/>
    <xf numFmtId="0" fontId="20" fillId="0" borderId="0" xfId="0" applyFont="1"/>
    <xf numFmtId="0" fontId="24" fillId="0" borderId="0" xfId="0" applyFont="1" applyAlignment="1">
      <alignment wrapText="1"/>
    </xf>
    <xf numFmtId="0" fontId="24" fillId="0" borderId="0" xfId="0" applyFont="1" applyAlignment="1"/>
    <xf numFmtId="0" fontId="20" fillId="0" borderId="0" xfId="0" applyFont="1" applyAlignment="1"/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14" fontId="19" fillId="0" borderId="0" xfId="0" applyNumberFormat="1" applyFont="1" applyBorder="1"/>
    <xf numFmtId="165" fontId="0" fillId="0" borderId="0" xfId="0" applyNumberFormat="1"/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1">
    <cellStyle name="Standaard" xfId="0" builtinId="0"/>
  </cellStyles>
  <dxfs count="14"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1257300</xdr:colOff>
      <xdr:row>0</xdr:row>
      <xdr:rowOff>0</xdr:rowOff>
    </xdr:from>
    <xdr:to>
      <xdr:col>8</xdr:col>
      <xdr:colOff>525780</xdr:colOff>
      <xdr:row>1</xdr:row>
      <xdr:rowOff>76200</xdr:rowOff>
    </xdr:to>
    <xdr:pic>
      <xdr:nvPicPr>
        <xdr:cNvPr id="10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2940" y="0"/>
          <a:ext cx="1714500" cy="441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1805940</xdr:colOff>
      <xdr:row>2</xdr:row>
      <xdr:rowOff>182880</xdr:rowOff>
    </xdr:to>
    <xdr:pic>
      <xdr:nvPicPr>
        <xdr:cNvPr id="20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176784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17"/>
  <sheetViews>
    <sheetView workbookViewId="0">
      <selection activeCell="D21" sqref="D21"/>
    </sheetView>
  </sheetViews>
  <sheetFormatPr defaultRowHeight="13.2"/>
  <sheetData>
    <row r="1" spans="1:2">
      <c r="A1" s="49" t="s">
        <v>269</v>
      </c>
    </row>
    <row r="2" spans="1:2">
      <c r="A2" s="49" t="s">
        <v>272</v>
      </c>
    </row>
    <row r="3" spans="1:2">
      <c r="A3" s="49" t="s">
        <v>271</v>
      </c>
    </row>
    <row r="4" spans="1:2">
      <c r="A4" s="49" t="s">
        <v>270</v>
      </c>
    </row>
    <row r="5" spans="1:2">
      <c r="A5" s="49" t="s">
        <v>273</v>
      </c>
    </row>
    <row r="6" spans="1:2">
      <c r="A6" s="49" t="s">
        <v>274</v>
      </c>
    </row>
    <row r="8" spans="1:2">
      <c r="A8" t="s">
        <v>286</v>
      </c>
    </row>
    <row r="14" spans="1:2">
      <c r="B14" s="10"/>
    </row>
    <row r="15" spans="1:2">
      <c r="B15" s="10"/>
    </row>
    <row r="16" spans="1:2">
      <c r="B16" s="10"/>
    </row>
    <row r="17" spans="2:2">
      <c r="B17" s="10"/>
    </row>
  </sheetData>
  <phoneticPr fontId="2" type="noConversion"/>
  <pageMargins left="0.75" right="0.75" top="1" bottom="1" header="0.5" footer="0.5"/>
  <pageSetup paperSize="8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B34"/>
  <sheetViews>
    <sheetView zoomScale="95" workbookViewId="0">
      <selection activeCell="D1" sqref="D1"/>
    </sheetView>
  </sheetViews>
  <sheetFormatPr defaultRowHeight="13.2"/>
  <sheetData>
    <row r="1" spans="1:2">
      <c r="A1" s="10" t="s">
        <v>156</v>
      </c>
    </row>
    <row r="3" spans="1:2">
      <c r="A3" s="10" t="s">
        <v>157</v>
      </c>
    </row>
    <row r="4" spans="1:2">
      <c r="A4" t="s">
        <v>206</v>
      </c>
    </row>
    <row r="5" spans="1:2">
      <c r="A5" t="s">
        <v>171</v>
      </c>
    </row>
    <row r="6" spans="1:2">
      <c r="A6" t="s">
        <v>158</v>
      </c>
    </row>
    <row r="7" spans="1:2">
      <c r="A7" t="s">
        <v>207</v>
      </c>
    </row>
    <row r="8" spans="1:2">
      <c r="A8" t="s">
        <v>172</v>
      </c>
    </row>
    <row r="9" spans="1:2">
      <c r="A9" t="s">
        <v>159</v>
      </c>
    </row>
    <row r="10" spans="1:2">
      <c r="A10" t="s">
        <v>173</v>
      </c>
    </row>
    <row r="11" spans="1:2">
      <c r="A11" t="s">
        <v>174</v>
      </c>
    </row>
    <row r="13" spans="1:2">
      <c r="A13" s="10" t="s">
        <v>168</v>
      </c>
    </row>
    <row r="14" spans="1:2">
      <c r="A14" t="s">
        <v>160</v>
      </c>
    </row>
    <row r="15" spans="1:2">
      <c r="A15" t="s">
        <v>175</v>
      </c>
    </row>
    <row r="16" spans="1:2">
      <c r="B16" t="s">
        <v>161</v>
      </c>
    </row>
    <row r="17" spans="1:2">
      <c r="B17" t="s">
        <v>162</v>
      </c>
    </row>
    <row r="18" spans="1:2">
      <c r="B18" t="s">
        <v>163</v>
      </c>
    </row>
    <row r="19" spans="1:2">
      <c r="B19" t="s">
        <v>164</v>
      </c>
    </row>
    <row r="20" spans="1:2">
      <c r="A20" t="s">
        <v>176</v>
      </c>
    </row>
    <row r="21" spans="1:2">
      <c r="A21" t="s">
        <v>170</v>
      </c>
    </row>
    <row r="22" spans="1:2">
      <c r="A22" t="s">
        <v>177</v>
      </c>
    </row>
    <row r="23" spans="1:2">
      <c r="A23" t="s">
        <v>208</v>
      </c>
    </row>
    <row r="24" spans="1:2">
      <c r="A24" t="s">
        <v>165</v>
      </c>
    </row>
    <row r="25" spans="1:2">
      <c r="A25" t="s">
        <v>166</v>
      </c>
    </row>
    <row r="27" spans="1:2">
      <c r="A27" s="10" t="s">
        <v>169</v>
      </c>
    </row>
    <row r="28" spans="1:2">
      <c r="A28" t="s">
        <v>178</v>
      </c>
    </row>
    <row r="29" spans="1:2">
      <c r="A29" t="s">
        <v>167</v>
      </c>
    </row>
    <row r="30" spans="1:2">
      <c r="A30" t="s">
        <v>179</v>
      </c>
    </row>
    <row r="31" spans="1:2">
      <c r="A31" t="s">
        <v>282</v>
      </c>
    </row>
    <row r="32" spans="1:2">
      <c r="A32" t="s">
        <v>278</v>
      </c>
    </row>
    <row r="33" spans="1:1">
      <c r="A33" t="s">
        <v>279</v>
      </c>
    </row>
    <row r="34" spans="1:1">
      <c r="A34" t="s">
        <v>280</v>
      </c>
    </row>
  </sheetData>
  <sheetProtection password="C670" sheet="1" objects="1" scenario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N49"/>
  <sheetViews>
    <sheetView showGridLines="0" tabSelected="1" topLeftCell="B4" zoomScale="85" workbookViewId="0">
      <selection activeCell="I26" sqref="I26"/>
    </sheetView>
  </sheetViews>
  <sheetFormatPr defaultRowHeight="13.2"/>
  <cols>
    <col min="1" max="1" width="4" customWidth="1"/>
    <col min="2" max="2" width="24" customWidth="1"/>
    <col min="3" max="3" width="13.5546875" customWidth="1"/>
    <col min="4" max="4" width="2.44140625" customWidth="1"/>
    <col min="5" max="5" width="38" customWidth="1"/>
    <col min="6" max="6" width="20.44140625" customWidth="1"/>
    <col min="7" max="7" width="21" customWidth="1"/>
    <col min="8" max="8" width="14.6640625" customWidth="1"/>
    <col min="9" max="9" width="15.5546875" customWidth="1"/>
    <col min="10" max="10" width="6.44140625" customWidth="1"/>
    <col min="11" max="11" width="6.88671875" bestFit="1" customWidth="1"/>
    <col min="13" max="13" width="6.33203125" bestFit="1" customWidth="1"/>
    <col min="14" max="14" width="11.6640625" bestFit="1" customWidth="1"/>
  </cols>
  <sheetData>
    <row r="1" spans="1:14" s="11" customFormat="1" ht="29.25" customHeight="1">
      <c r="B1" s="12" t="s">
        <v>65</v>
      </c>
      <c r="E1"/>
      <c r="F1" s="50"/>
      <c r="G1" s="51"/>
      <c r="H1"/>
    </row>
    <row r="2" spans="1:14" ht="16.5" customHeight="1">
      <c r="B2" s="50" t="s">
        <v>145</v>
      </c>
      <c r="C2" s="50" t="s">
        <v>283</v>
      </c>
      <c r="D2" s="50"/>
      <c r="H2" s="56" t="s">
        <v>66</v>
      </c>
      <c r="K2" s="50"/>
      <c r="L2" s="50"/>
      <c r="M2" s="50"/>
      <c r="N2" s="50"/>
    </row>
    <row r="3" spans="1:14">
      <c r="B3" s="50" t="s">
        <v>146</v>
      </c>
      <c r="C3" s="123">
        <v>40031</v>
      </c>
      <c r="D3" s="50"/>
      <c r="K3" s="50"/>
      <c r="L3" s="50"/>
      <c r="M3" s="50"/>
      <c r="N3" s="50"/>
    </row>
    <row r="4" spans="1:14" ht="24" customHeight="1">
      <c r="B4" s="80" t="s">
        <v>235</v>
      </c>
      <c r="C4" s="61"/>
      <c r="E4" s="73" t="s">
        <v>13</v>
      </c>
      <c r="F4" s="67" t="s">
        <v>64</v>
      </c>
      <c r="G4" s="67" t="s">
        <v>1</v>
      </c>
      <c r="H4" s="111" t="s">
        <v>4</v>
      </c>
      <c r="I4" s="111" t="s">
        <v>105</v>
      </c>
      <c r="K4" s="50"/>
      <c r="L4" s="50"/>
      <c r="M4" s="50"/>
      <c r="N4" s="50"/>
    </row>
    <row r="5" spans="1:14" ht="15.75" customHeight="1">
      <c r="B5" s="55" t="s">
        <v>0</v>
      </c>
      <c r="C5" s="62">
        <v>1</v>
      </c>
      <c r="E5" s="68"/>
      <c r="F5" s="89">
        <v>60</v>
      </c>
      <c r="G5" s="89">
        <v>1400</v>
      </c>
      <c r="H5" s="112"/>
      <c r="I5" s="113"/>
    </row>
    <row r="6" spans="1:14" ht="23.4">
      <c r="B6" s="55" t="str">
        <f>IF(C5=1,"breedte plas (m)","breedte kanaal (m)")</f>
        <v>breedte plas (m)</v>
      </c>
      <c r="C6" s="62">
        <v>1000</v>
      </c>
      <c r="E6" s="73" t="s">
        <v>253</v>
      </c>
      <c r="F6" s="59" t="s">
        <v>3</v>
      </c>
      <c r="G6" s="69" t="s">
        <v>249</v>
      </c>
      <c r="I6" s="88"/>
    </row>
    <row r="7" spans="1:14">
      <c r="B7" s="55" t="str">
        <f>IF(C5=1,"lengte plas (m)","")</f>
        <v>lengte plas (m)</v>
      </c>
      <c r="C7" s="62">
        <v>100</v>
      </c>
      <c r="E7" s="90" t="s">
        <v>254</v>
      </c>
      <c r="F7" s="51">
        <v>0</v>
      </c>
      <c r="G7" s="69">
        <v>0</v>
      </c>
      <c r="H7" s="51">
        <v>100</v>
      </c>
      <c r="I7" s="62">
        <v>1</v>
      </c>
    </row>
    <row r="8" spans="1:14">
      <c r="B8" s="55" t="str">
        <f>IF(C5=1,"gemiddelde diepte plas (m)","gemiddelde diepte kanaal (m)")</f>
        <v>gemiddelde diepte plas (m)</v>
      </c>
      <c r="C8" s="62">
        <v>1</v>
      </c>
      <c r="E8" s="90" t="s">
        <v>255</v>
      </c>
      <c r="F8" s="93">
        <v>0</v>
      </c>
      <c r="G8" s="89"/>
      <c r="H8" s="51">
        <v>100</v>
      </c>
      <c r="I8" s="62">
        <v>1</v>
      </c>
    </row>
    <row r="9" spans="1:14">
      <c r="B9" s="55" t="str">
        <f>IF(C5=1,"","Verversingsdebiet (m3/sec")</f>
        <v/>
      </c>
      <c r="C9" s="62">
        <v>1</v>
      </c>
      <c r="E9" s="73" t="s">
        <v>250</v>
      </c>
      <c r="F9" s="107" t="s">
        <v>238</v>
      </c>
      <c r="G9" s="86" t="s">
        <v>251</v>
      </c>
      <c r="H9" s="65"/>
      <c r="I9" s="66"/>
    </row>
    <row r="10" spans="1:14">
      <c r="B10" s="55" t="str">
        <f>"oppervlak zwemzone (m2)"</f>
        <v>oppervlak zwemzone (m2)</v>
      </c>
      <c r="C10" s="62">
        <v>5000</v>
      </c>
      <c r="E10" s="91" t="s">
        <v>256</v>
      </c>
      <c r="F10" s="96" t="s">
        <v>238</v>
      </c>
      <c r="G10" s="62">
        <v>0.1</v>
      </c>
      <c r="H10" s="55">
        <v>0</v>
      </c>
      <c r="I10" s="62">
        <v>1E-3</v>
      </c>
    </row>
    <row r="11" spans="1:14">
      <c r="B11" s="55" t="s">
        <v>266</v>
      </c>
      <c r="C11" s="62">
        <v>2</v>
      </c>
      <c r="E11" s="91" t="s">
        <v>260</v>
      </c>
      <c r="F11" s="96" t="s">
        <v>238</v>
      </c>
      <c r="G11" s="62">
        <v>0</v>
      </c>
      <c r="H11" s="55">
        <v>0</v>
      </c>
      <c r="I11" s="62">
        <v>0</v>
      </c>
    </row>
    <row r="12" spans="1:14">
      <c r="A12" s="26"/>
      <c r="B12" s="63" t="str">
        <f>"oeverlengte zwemstrand (m)"</f>
        <v>oeverlengte zwemstrand (m)</v>
      </c>
      <c r="C12" s="64">
        <v>95</v>
      </c>
      <c r="E12" s="90" t="s">
        <v>261</v>
      </c>
      <c r="F12" s="104" t="s">
        <v>238</v>
      </c>
      <c r="G12" s="64">
        <v>0</v>
      </c>
      <c r="H12" s="63">
        <v>0</v>
      </c>
      <c r="I12" s="64">
        <v>0</v>
      </c>
    </row>
    <row r="13" spans="1:14">
      <c r="A13" s="26"/>
      <c r="E13" s="92" t="s">
        <v>180</v>
      </c>
      <c r="F13" s="108" t="s">
        <v>238</v>
      </c>
      <c r="G13" s="94"/>
      <c r="H13" s="53">
        <v>100</v>
      </c>
      <c r="I13" s="81">
        <v>1</v>
      </c>
    </row>
    <row r="14" spans="1:14">
      <c r="A14" s="26"/>
      <c r="E14" s="74" t="s">
        <v>241</v>
      </c>
      <c r="F14" s="109" t="s">
        <v>238</v>
      </c>
      <c r="G14" s="82"/>
      <c r="H14" s="53"/>
      <c r="I14" s="81"/>
    </row>
    <row r="15" spans="1:14" ht="15" customHeight="1">
      <c r="A15" s="26"/>
      <c r="E15" s="75" t="s">
        <v>242</v>
      </c>
      <c r="F15" s="110" t="s">
        <v>238</v>
      </c>
      <c r="G15" s="83"/>
      <c r="H15" s="53"/>
      <c r="I15" s="81"/>
    </row>
    <row r="16" spans="1:14">
      <c r="A16" s="26"/>
      <c r="E16" s="73" t="s">
        <v>247</v>
      </c>
      <c r="F16" s="109" t="s">
        <v>238</v>
      </c>
      <c r="G16" s="114"/>
      <c r="H16" s="84"/>
      <c r="I16" s="85"/>
    </row>
    <row r="17" spans="1:14">
      <c r="A17" s="51"/>
      <c r="E17" s="76" t="s">
        <v>243</v>
      </c>
      <c r="F17" s="109" t="s">
        <v>238</v>
      </c>
      <c r="G17" s="81">
        <v>0</v>
      </c>
      <c r="H17" s="97" t="s">
        <v>238</v>
      </c>
      <c r="I17" s="82" t="s">
        <v>238</v>
      </c>
    </row>
    <row r="18" spans="1:14">
      <c r="E18" s="76" t="s">
        <v>244</v>
      </c>
      <c r="F18" s="109" t="s">
        <v>238</v>
      </c>
      <c r="G18" s="81">
        <v>10</v>
      </c>
      <c r="H18" s="97" t="s">
        <v>238</v>
      </c>
      <c r="I18" s="82" t="s">
        <v>238</v>
      </c>
    </row>
    <row r="19" spans="1:14">
      <c r="A19" s="51"/>
      <c r="E19" s="76" t="s">
        <v>245</v>
      </c>
      <c r="F19" s="109" t="s">
        <v>238</v>
      </c>
      <c r="G19" s="81">
        <v>15</v>
      </c>
      <c r="H19" s="97" t="s">
        <v>238</v>
      </c>
      <c r="I19" s="82" t="s">
        <v>238</v>
      </c>
      <c r="J19" s="52"/>
    </row>
    <row r="20" spans="1:14">
      <c r="A20" s="51"/>
      <c r="E20" s="77" t="s">
        <v>246</v>
      </c>
      <c r="F20" s="109" t="s">
        <v>238</v>
      </c>
      <c r="G20" s="62"/>
      <c r="H20" s="60"/>
      <c r="I20" s="61"/>
      <c r="J20" s="52"/>
      <c r="K20" s="35"/>
      <c r="L20" s="50"/>
      <c r="M20" s="50"/>
      <c r="N20" s="50"/>
    </row>
    <row r="21" spans="1:14">
      <c r="A21" s="51"/>
      <c r="E21" s="78" t="s">
        <v>243</v>
      </c>
      <c r="F21" s="109" t="s">
        <v>238</v>
      </c>
      <c r="G21" s="62">
        <v>0</v>
      </c>
      <c r="H21" s="55">
        <v>100</v>
      </c>
      <c r="I21" s="62">
        <v>1</v>
      </c>
      <c r="J21" s="52"/>
      <c r="K21" s="35"/>
      <c r="L21" s="50"/>
      <c r="M21" s="50"/>
      <c r="N21" s="50"/>
    </row>
    <row r="22" spans="1:14">
      <c r="A22" s="51"/>
      <c r="E22" s="78" t="s">
        <v>248</v>
      </c>
      <c r="F22" s="109" t="s">
        <v>238</v>
      </c>
      <c r="G22" s="62">
        <v>10</v>
      </c>
      <c r="H22" s="58"/>
      <c r="I22" s="81"/>
      <c r="J22" s="50"/>
      <c r="K22" s="35"/>
      <c r="L22" s="50"/>
      <c r="M22" s="50"/>
      <c r="N22" s="50"/>
    </row>
    <row r="23" spans="1:14" ht="12" customHeight="1">
      <c r="A23" s="51"/>
      <c r="E23" s="79" t="s">
        <v>245</v>
      </c>
      <c r="F23" s="109" t="s">
        <v>238</v>
      </c>
      <c r="G23" s="62">
        <v>15</v>
      </c>
      <c r="H23" s="63">
        <v>10</v>
      </c>
      <c r="I23" s="64">
        <v>1</v>
      </c>
      <c r="J23" s="35"/>
      <c r="K23" s="50"/>
      <c r="L23" s="50"/>
      <c r="M23" s="50"/>
      <c r="N23" s="50"/>
    </row>
    <row r="24" spans="1:14">
      <c r="A24" s="51"/>
      <c r="E24" s="73" t="s">
        <v>236</v>
      </c>
      <c r="F24" s="95" t="s">
        <v>238</v>
      </c>
      <c r="G24" s="86" t="s">
        <v>252</v>
      </c>
      <c r="H24" s="57"/>
      <c r="I24" s="87"/>
      <c r="J24" s="52"/>
      <c r="K24" s="52"/>
      <c r="L24" s="50"/>
      <c r="M24" s="50"/>
      <c r="N24" s="50"/>
    </row>
    <row r="25" spans="1:14">
      <c r="A25" s="51"/>
      <c r="E25" s="91" t="s">
        <v>257</v>
      </c>
      <c r="F25" s="98" t="s">
        <v>238</v>
      </c>
      <c r="G25" s="106">
        <v>357</v>
      </c>
      <c r="H25" s="51">
        <v>450</v>
      </c>
      <c r="I25" s="62">
        <v>0.5</v>
      </c>
      <c r="J25" s="52"/>
      <c r="K25" s="35"/>
      <c r="L25" s="50"/>
      <c r="M25" s="50"/>
      <c r="N25" s="50"/>
    </row>
    <row r="26" spans="1:14">
      <c r="E26" s="91" t="s">
        <v>265</v>
      </c>
      <c r="F26" s="98" t="s">
        <v>238</v>
      </c>
      <c r="G26" s="62">
        <v>0</v>
      </c>
      <c r="H26" s="51">
        <v>0</v>
      </c>
      <c r="I26" s="62">
        <v>0</v>
      </c>
      <c r="J26" s="52"/>
      <c r="K26" s="35"/>
      <c r="L26" s="50"/>
      <c r="M26" s="50"/>
      <c r="N26" s="50"/>
    </row>
    <row r="27" spans="1:14">
      <c r="E27" s="91" t="s">
        <v>258</v>
      </c>
      <c r="F27" s="98" t="s">
        <v>238</v>
      </c>
      <c r="G27" s="62">
        <v>0</v>
      </c>
      <c r="H27" s="51">
        <v>0</v>
      </c>
      <c r="I27" s="62">
        <v>0</v>
      </c>
      <c r="K27" s="35"/>
      <c r="L27" s="50"/>
      <c r="M27" s="50"/>
      <c r="N27" s="50"/>
    </row>
    <row r="28" spans="1:14" ht="12.75" customHeight="1">
      <c r="E28" s="90" t="s">
        <v>259</v>
      </c>
      <c r="F28" s="99" t="s">
        <v>238</v>
      </c>
      <c r="G28" s="64">
        <v>357</v>
      </c>
      <c r="H28" s="51">
        <v>10</v>
      </c>
      <c r="I28" s="62">
        <v>0.1</v>
      </c>
      <c r="L28" s="50"/>
      <c r="M28" s="50"/>
      <c r="N28" s="50"/>
    </row>
    <row r="29" spans="1:14" ht="12" customHeight="1">
      <c r="E29" s="73" t="s">
        <v>182</v>
      </c>
      <c r="F29" s="100" t="s">
        <v>237</v>
      </c>
      <c r="G29" s="54">
        <v>250</v>
      </c>
      <c r="H29" s="60">
        <v>40</v>
      </c>
      <c r="I29" s="61">
        <v>1</v>
      </c>
      <c r="L29" s="50"/>
      <c r="M29" s="50"/>
      <c r="N29" s="50"/>
    </row>
    <row r="30" spans="1:14">
      <c r="E30" s="78" t="s">
        <v>239</v>
      </c>
      <c r="F30" s="51">
        <v>15000</v>
      </c>
      <c r="G30" s="101">
        <v>250</v>
      </c>
      <c r="H30" s="96"/>
      <c r="I30" s="102"/>
      <c r="L30" s="50"/>
      <c r="M30" s="50"/>
      <c r="N30" s="50"/>
    </row>
    <row r="31" spans="1:14">
      <c r="E31" s="79" t="s">
        <v>240</v>
      </c>
      <c r="F31" s="63">
        <v>6000</v>
      </c>
      <c r="G31" s="103">
        <v>250</v>
      </c>
      <c r="H31" s="104"/>
      <c r="I31" s="105"/>
      <c r="L31" s="50"/>
      <c r="M31" s="50"/>
      <c r="N31" s="50"/>
    </row>
    <row r="32" spans="1:14">
      <c r="E32" s="80" t="s">
        <v>49</v>
      </c>
      <c r="F32" s="51"/>
      <c r="G32" s="26"/>
      <c r="H32" s="26"/>
      <c r="I32" s="88"/>
      <c r="L32" s="50"/>
      <c r="M32" s="50"/>
      <c r="N32" s="50"/>
    </row>
    <row r="33" spans="5:14" ht="15" customHeight="1">
      <c r="E33" s="55" t="s">
        <v>262</v>
      </c>
      <c r="F33" s="51">
        <v>1</v>
      </c>
      <c r="G33" s="26"/>
      <c r="H33" s="51">
        <v>100</v>
      </c>
      <c r="I33" s="62">
        <v>1</v>
      </c>
      <c r="J33" s="50"/>
      <c r="L33" s="50"/>
      <c r="M33" s="50"/>
      <c r="N33" s="50"/>
    </row>
    <row r="34" spans="5:14">
      <c r="E34" s="55" t="s">
        <v>6</v>
      </c>
      <c r="F34" s="51">
        <v>1</v>
      </c>
      <c r="G34" s="26"/>
      <c r="H34" s="26"/>
      <c r="I34" s="88"/>
      <c r="J34" s="50"/>
      <c r="K34" s="50"/>
      <c r="L34" s="50"/>
      <c r="M34" s="50"/>
      <c r="N34" s="50"/>
    </row>
    <row r="35" spans="5:14" ht="16.5" customHeight="1">
      <c r="E35" s="63" t="s">
        <v>7</v>
      </c>
      <c r="F35" s="70">
        <v>8</v>
      </c>
      <c r="G35" s="71"/>
      <c r="H35" s="71"/>
      <c r="I35" s="72"/>
      <c r="J35" s="50"/>
      <c r="K35" s="50"/>
      <c r="L35" s="50"/>
      <c r="M35" s="50"/>
      <c r="N35" s="50"/>
    </row>
    <row r="36" spans="5:14">
      <c r="J36" s="50"/>
      <c r="K36" s="50"/>
      <c r="L36" s="50"/>
      <c r="M36" s="50"/>
      <c r="N36" s="50"/>
    </row>
    <row r="37" spans="5:14">
      <c r="F37" s="35"/>
      <c r="H37" s="35"/>
      <c r="J37" s="50"/>
      <c r="K37" s="50"/>
      <c r="L37" s="50"/>
      <c r="M37" s="50"/>
      <c r="N37" s="50"/>
    </row>
    <row r="38" spans="5:14">
      <c r="J38" s="50"/>
      <c r="K38" s="50"/>
      <c r="L38" s="50"/>
      <c r="M38" s="50"/>
      <c r="N38" s="50"/>
    </row>
    <row r="39" spans="5:14">
      <c r="J39" s="50"/>
      <c r="K39" s="50"/>
      <c r="L39" s="50"/>
      <c r="M39" s="50"/>
      <c r="N39" s="50"/>
    </row>
    <row r="40" spans="5:14">
      <c r="K40" s="50"/>
      <c r="L40" s="50"/>
      <c r="M40" s="50"/>
      <c r="N40" s="50"/>
    </row>
    <row r="43" spans="5:14">
      <c r="G43" s="35"/>
      <c r="H43" s="35"/>
      <c r="I43" s="35"/>
    </row>
    <row r="44" spans="5:14">
      <c r="G44" s="52"/>
      <c r="H44" s="52"/>
      <c r="I44" s="35"/>
    </row>
    <row r="45" spans="5:14">
      <c r="G45" s="52"/>
      <c r="H45" s="52"/>
      <c r="I45" s="35"/>
    </row>
    <row r="46" spans="5:14">
      <c r="G46" s="52"/>
      <c r="H46" s="52"/>
      <c r="I46" s="35"/>
    </row>
    <row r="47" spans="5:14">
      <c r="G47" s="52"/>
      <c r="H47" s="52"/>
      <c r="I47" s="35"/>
    </row>
    <row r="48" spans="5:14">
      <c r="G48" s="35"/>
      <c r="H48" s="35"/>
      <c r="I48" s="35"/>
    </row>
    <row r="49" spans="7:9">
      <c r="G49" s="35"/>
      <c r="H49" s="35"/>
      <c r="I49" s="35"/>
    </row>
  </sheetData>
  <phoneticPr fontId="2" type="noConversion"/>
  <conditionalFormatting sqref="C9">
    <cfRule type="expression" dxfId="13" priority="1" stopIfTrue="1">
      <formula>C5=1</formula>
    </cfRule>
  </conditionalFormatting>
  <conditionalFormatting sqref="C7">
    <cfRule type="expression" dxfId="12" priority="2" stopIfTrue="1">
      <formula>C5=2</formula>
    </cfRule>
  </conditionalFormatting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O67"/>
  <sheetViews>
    <sheetView topLeftCell="A17" zoomScale="85" workbookViewId="0">
      <pane xSplit="1" topLeftCell="B1" activePane="topRight" state="frozen"/>
      <selection pane="topRight" activeCell="H43" sqref="H43"/>
    </sheetView>
  </sheetViews>
  <sheetFormatPr defaultRowHeight="13.2"/>
  <cols>
    <col min="1" max="1" width="37.33203125" customWidth="1"/>
    <col min="2" max="2" width="10.44140625" customWidth="1"/>
    <col min="3" max="3" width="13.5546875" customWidth="1"/>
    <col min="4" max="4" width="15.33203125" customWidth="1"/>
    <col min="5" max="5" width="14.33203125" customWidth="1"/>
    <col min="6" max="6" width="13" customWidth="1"/>
    <col min="7" max="7" width="10.88671875" customWidth="1"/>
    <col min="8" max="8" width="7" customWidth="1"/>
    <col min="9" max="9" width="11.109375" customWidth="1"/>
    <col min="10" max="10" width="10.33203125" customWidth="1"/>
    <col min="12" max="12" width="12.5546875" customWidth="1"/>
    <col min="13" max="13" width="17" bestFit="1" customWidth="1"/>
    <col min="14" max="14" width="9.33203125" customWidth="1"/>
  </cols>
  <sheetData>
    <row r="1" spans="1:12">
      <c r="A1" s="10" t="s">
        <v>8</v>
      </c>
    </row>
    <row r="2" spans="1:12">
      <c r="A2" s="10"/>
    </row>
    <row r="3" spans="1:12">
      <c r="A3" s="10"/>
      <c r="B3" s="10"/>
    </row>
    <row r="4" spans="1:12">
      <c r="A4" s="10" t="s">
        <v>151</v>
      </c>
      <c r="B4">
        <f>invulblad!C6*invulblad!C7*invulblad!C8</f>
        <v>100000</v>
      </c>
      <c r="C4" t="s">
        <v>10</v>
      </c>
    </row>
    <row r="5" spans="1:12">
      <c r="A5" s="10" t="s">
        <v>12</v>
      </c>
      <c r="B5" s="2">
        <f>SQRT(invulblad!C6^2+invulblad!C7^2)^0.3</f>
        <v>7.9551469424010719</v>
      </c>
    </row>
    <row r="6" spans="1:12">
      <c r="A6" s="10" t="s">
        <v>209</v>
      </c>
      <c r="B6">
        <f>IF(B5&lt;invulblad!C8,invulblad!C6*invulblad!C7*'rekenblad meren'!B5,'rekenblad meren'!B4)</f>
        <v>100000</v>
      </c>
      <c r="K6">
        <f>2.9694*LN((invulblad!C7+invulblad!C6)/2)-9.6927</f>
        <v>9.043971335365816</v>
      </c>
    </row>
    <row r="7" spans="1:12">
      <c r="A7" s="10" t="s">
        <v>9</v>
      </c>
      <c r="B7" s="2">
        <f>1/(invulblad!C9*3600*24/(invulblad!C6*invulblad!C7*invulblad!C8))</f>
        <v>1.1574074074074074</v>
      </c>
      <c r="C7" t="s">
        <v>11</v>
      </c>
    </row>
    <row r="8" spans="1:12">
      <c r="A8" s="10" t="s">
        <v>28</v>
      </c>
      <c r="B8">
        <f>invulblad!C11*invulblad!C10</f>
        <v>10000</v>
      </c>
      <c r="C8">
        <f>MIN(B8,invulblad!F5*invulblad!C11*2)</f>
        <v>240</v>
      </c>
      <c r="D8">
        <f>MIN(B8,invulblad!G5*invulblad!C11*2)</f>
        <v>5600</v>
      </c>
    </row>
    <row r="9" spans="1:12">
      <c r="A9" s="10" t="s">
        <v>29</v>
      </c>
      <c r="B9" s="2">
        <f>(invulblad!C10/invulblad!C6/invulblad!C7)^0.3</f>
        <v>0.40709053153690439</v>
      </c>
    </row>
    <row r="10" spans="1:12">
      <c r="A10" s="10" t="s">
        <v>213</v>
      </c>
      <c r="B10" s="2">
        <f>(invulblad!C10/PI())^0.5</f>
        <v>39.894228040143268</v>
      </c>
    </row>
    <row r="11" spans="1:12">
      <c r="K11" s="10" t="s">
        <v>21</v>
      </c>
    </row>
    <row r="12" spans="1:12">
      <c r="A12" s="10"/>
      <c r="K12" s="10" t="s">
        <v>22</v>
      </c>
      <c r="L12" t="s">
        <v>210</v>
      </c>
    </row>
    <row r="13" spans="1:12">
      <c r="A13" s="10"/>
      <c r="B13" s="10"/>
      <c r="C13" s="10"/>
      <c r="D13" s="10"/>
      <c r="E13" s="10"/>
      <c r="H13" s="13"/>
      <c r="K13" s="10" t="s">
        <v>27</v>
      </c>
      <c r="L13" t="s">
        <v>211</v>
      </c>
    </row>
    <row r="14" spans="1:12">
      <c r="A14" s="10"/>
      <c r="B14" s="10"/>
      <c r="C14" s="10"/>
      <c r="D14" s="48"/>
      <c r="E14" s="10"/>
      <c r="I14" s="10" t="s">
        <v>185</v>
      </c>
      <c r="J14" s="10" t="s">
        <v>53</v>
      </c>
      <c r="K14" s="10" t="s">
        <v>46</v>
      </c>
      <c r="L14" t="s">
        <v>40</v>
      </c>
    </row>
    <row r="15" spans="1:12">
      <c r="B15" s="2"/>
      <c r="D15" s="1"/>
      <c r="E15" s="1"/>
      <c r="F15" s="2"/>
      <c r="G15" s="2"/>
      <c r="I15" s="10" t="s">
        <v>25</v>
      </c>
      <c r="J15" s="10" t="s">
        <v>186</v>
      </c>
      <c r="K15" s="10"/>
    </row>
    <row r="16" spans="1:12">
      <c r="D16" s="2"/>
      <c r="E16" s="2"/>
      <c r="K16" s="10"/>
    </row>
    <row r="17" spans="1:15">
      <c r="A17" s="115" t="s">
        <v>268</v>
      </c>
      <c r="I17" t="s">
        <v>284</v>
      </c>
      <c r="K17" s="10"/>
    </row>
    <row r="18" spans="1:15">
      <c r="A18" s="10" t="s">
        <v>44</v>
      </c>
      <c r="C18" s="1"/>
      <c r="I18" s="40">
        <f>invulblad!F5*Richtgetallen!C6/(B8)/1000*B9</f>
        <v>48.850863784428526</v>
      </c>
      <c r="J18" s="40">
        <f>invulblad!F5*Richtgetallen!E6/(B8)/1000*B9</f>
        <v>24.425431892214263</v>
      </c>
      <c r="K18" s="10"/>
    </row>
    <row r="19" spans="1:15">
      <c r="A19" s="10" t="s">
        <v>281</v>
      </c>
      <c r="C19" s="1"/>
      <c r="D19" s="1"/>
      <c r="I19" s="40">
        <f>invulblad!G5*Richtgetallen!C6/(B8)/1000*B9</f>
        <v>1139.8534883033324</v>
      </c>
      <c r="J19" s="40">
        <f>invulblad!G5*Richtgetallen!E6/(B8)/1000*B9</f>
        <v>569.92674415166618</v>
      </c>
      <c r="K19" s="10"/>
    </row>
    <row r="20" spans="1:15">
      <c r="A20" s="10"/>
      <c r="B20" s="40"/>
      <c r="I20" s="40"/>
      <c r="J20" s="40"/>
    </row>
    <row r="21" spans="1:15">
      <c r="A21" s="10" t="s">
        <v>267</v>
      </c>
      <c r="B21" s="40"/>
      <c r="I21" s="40"/>
      <c r="J21" s="40"/>
    </row>
    <row r="22" spans="1:15">
      <c r="A22" s="10" t="s">
        <v>44</v>
      </c>
      <c r="B22" s="40"/>
      <c r="I22" s="40">
        <f>invulblad!F5*Richtgetallen!C6/(C8)/1000*B9</f>
        <v>2035.4526576845219</v>
      </c>
      <c r="J22" s="40">
        <f>invulblad!F5*Richtgetallen!E6/(C8)/1000*B9</f>
        <v>1017.726328842261</v>
      </c>
      <c r="M22" s="1"/>
    </row>
    <row r="23" spans="1:15">
      <c r="A23" s="10" t="s">
        <v>281</v>
      </c>
      <c r="B23" s="40"/>
      <c r="I23" s="40">
        <f>invulblad!G5*Richtgetallen!C6/(D8)/1000*B9</f>
        <v>2035.4526576845219</v>
      </c>
      <c r="J23" s="40">
        <f>invulblad!G5*Richtgetallen!E6/(D8)/1000*B9</f>
        <v>1017.726328842261</v>
      </c>
      <c r="M23" s="1"/>
    </row>
    <row r="24" spans="1:15">
      <c r="I24" s="10"/>
      <c r="J24" s="10"/>
    </row>
    <row r="25" spans="1:15">
      <c r="A25" s="115" t="s">
        <v>2</v>
      </c>
      <c r="B25" t="s">
        <v>106</v>
      </c>
      <c r="C25" t="s">
        <v>187</v>
      </c>
      <c r="D25" t="s">
        <v>188</v>
      </c>
      <c r="I25" t="s">
        <v>193</v>
      </c>
      <c r="J25" t="s">
        <v>199</v>
      </c>
    </row>
    <row r="26" spans="1:15">
      <c r="A26" s="10" t="s">
        <v>35</v>
      </c>
      <c r="B26" s="2">
        <f>MAX(B10,invulblad!H7)</f>
        <v>100</v>
      </c>
      <c r="C26" s="1">
        <f>invulblad!F7*Richtgetallen!C7/12/3600</f>
        <v>0</v>
      </c>
      <c r="D26" s="1">
        <f>invulblad!F7*Richtgetallen!E7/12/3600</f>
        <v>0</v>
      </c>
      <c r="E26" s="38"/>
      <c r="F26" s="37"/>
      <c r="G26" s="37"/>
      <c r="H26">
        <v>1</v>
      </c>
      <c r="I26" s="2">
        <f>191000/$B26^1.2/MIN($B$5,invulblad!$C$8)*C26*H26/1000000</f>
        <v>0</v>
      </c>
      <c r="J26" s="2">
        <f>191000/$B26^1.2/MIN($B$5,invulblad!$C$8)*D26*H26/1000000</f>
        <v>0</v>
      </c>
    </row>
    <row r="27" spans="1:15">
      <c r="A27" s="10" t="s">
        <v>218</v>
      </c>
      <c r="B27" s="2">
        <f>MAX(B10,invulblad!H7)</f>
        <v>100</v>
      </c>
      <c r="C27" s="1">
        <f>invulblad!G7*Richtgetallen!C7/12/3600</f>
        <v>0</v>
      </c>
      <c r="D27" s="1">
        <f>invulblad!G7*Richtgetallen!E7/12/3600</f>
        <v>0</v>
      </c>
      <c r="E27" s="38"/>
      <c r="F27" s="37"/>
      <c r="G27" s="37"/>
      <c r="H27">
        <v>1</v>
      </c>
      <c r="I27" s="2">
        <f>191000/$B27^1.2/MIN($B$5,invulblad!$C$8)*C27*H27/1000000</f>
        <v>0</v>
      </c>
      <c r="J27" s="2">
        <f>191000/$B27^1.2/MIN($B$5,invulblad!$C$8)*D27*H27/1000000</f>
        <v>0</v>
      </c>
    </row>
    <row r="28" spans="1:15">
      <c r="A28" s="10"/>
      <c r="E28" s="38"/>
      <c r="I28" s="37"/>
      <c r="J28" s="37"/>
      <c r="M28" s="13" t="s">
        <v>285</v>
      </c>
    </row>
    <row r="29" spans="1:15">
      <c r="A29" s="115" t="s">
        <v>220</v>
      </c>
      <c r="B29" t="s">
        <v>106</v>
      </c>
      <c r="C29" t="s">
        <v>187</v>
      </c>
      <c r="D29" t="s">
        <v>188</v>
      </c>
      <c r="H29" t="s">
        <v>107</v>
      </c>
      <c r="I29" t="s">
        <v>284</v>
      </c>
      <c r="J29" t="s">
        <v>284</v>
      </c>
      <c r="M29" t="s">
        <v>284</v>
      </c>
      <c r="N29" t="s">
        <v>284</v>
      </c>
    </row>
    <row r="30" spans="1:15">
      <c r="A30" s="10" t="s">
        <v>128</v>
      </c>
      <c r="B30" s="34">
        <f>MAX(B10,invulblad!H10)</f>
        <v>39.894228040143268</v>
      </c>
      <c r="C30" s="24">
        <f>invulblad!G10*Richtgetallen!C8*1000</f>
        <v>20000000</v>
      </c>
      <c r="D30" s="24">
        <f>invulblad!G10*Richtgetallen!E8*1000</f>
        <v>10000000</v>
      </c>
      <c r="E30" s="24"/>
      <c r="F30" s="24"/>
      <c r="G30" s="24"/>
      <c r="H30" s="34">
        <f>invulblad!I10</f>
        <v>1E-3</v>
      </c>
      <c r="I30" s="3">
        <f>IF(B30&gt;SQRT(invulblad!$C$6^2+invulblad!$C$7^2),191000/$B30^1.2/MIN($B$5,invulblad!$C$8)*C30*H30/1000000,191000/$B30^1.2/MIN($B$5,invulblad!$C$8)*C30*H30/1000000*MAX(1,23*(invulblad!$C$10/(invulblad!$C$6*invulblad!$C$7))^1.5))</f>
        <v>45.81115948235059</v>
      </c>
      <c r="J30" s="3">
        <f>IF(B30&gt;SQRT(invulblad!$C$6^2+invulblad!$C$7^2),191000/$B30^1.2/MIN($B$5,invulblad!$C$8)*D30*H30/1000000,191000/$B30^1.2/MIN($B$5,invulblad!$C$8)*D30*H30/1000000*MAX(1,23*(invulblad!$C$10/(invulblad!$C$6*invulblad!$C$7))^1.5))</f>
        <v>22.905579741175295</v>
      </c>
      <c r="L30" s="2"/>
      <c r="M30" s="2">
        <f>$C30*24*3600/(invulblad!$C$6*invulblad!$C$7*invulblad!$C$8)/1000*3*$H30</f>
        <v>51.84</v>
      </c>
      <c r="N30" s="2">
        <f>$D30*24*3600/(invulblad!$C$6*invulblad!$C$7*invulblad!$C$8)/1000*3*$H30</f>
        <v>25.92</v>
      </c>
      <c r="O30" s="1"/>
    </row>
    <row r="31" spans="1:15">
      <c r="A31" s="10" t="s">
        <v>184</v>
      </c>
      <c r="B31" s="34">
        <f>MAX(B10,invulblad!H33)</f>
        <v>100</v>
      </c>
      <c r="C31" s="24">
        <f>invulblad!F34*VLOOKUP(invulblad!$F$35,Richtgetallen!B25:E32,invulblad!$F$33+1)/24/3600/183</f>
        <v>24.666059502125076</v>
      </c>
      <c r="D31" s="24">
        <f>invulblad!F34*VLOOKUP(invulblad!$F$35,Richtgetallen!B38:E45,invulblad!$F$33+1)/24/3600/183</f>
        <v>1.2649261283141064</v>
      </c>
      <c r="F31" s="24"/>
      <c r="G31" s="24"/>
      <c r="H31" s="13">
        <f>invulblad!I33</f>
        <v>1</v>
      </c>
      <c r="I31" s="3">
        <f>IF(B31&gt;SQRT(invulblad!$C$6^2+invulblad!$C$7^2),191000/$B31^1.2/MIN($B$5,invulblad!$C$8)*C31*H31/1000000,191000/$B31^1.2/MIN($B$5,invulblad!$C$8)*C31*H31/1000000*MAX(1,23*(invulblad!$C$10/(invulblad!$C$6*invulblad!$C$7))^1.5))</f>
        <v>1.8755694150051867E-2</v>
      </c>
      <c r="J31" s="3">
        <f>IF(B31&gt;SQRT(invulblad!$C$6^2+invulblad!$C$7^2),191000/$B31^1.2/MIN($B$5,invulblad!$C$8)*D31*H31/1000000,191000/$B31^1.2/MIN($B$5,invulblad!$C$8)*D31*H31/1000000*MAX(1,23*(invulblad!$C$10/(invulblad!$C$6*invulblad!$C$7))^1.5))</f>
        <v>9.6183046923342902E-4</v>
      </c>
      <c r="L31" s="2"/>
      <c r="M31" s="2">
        <f>$C31*24*3600/(invulblad!$C$6*invulblad!$C$7*invulblad!$C$8)/1000*3*$H31</f>
        <v>6.3934426229508207E-2</v>
      </c>
      <c r="N31" s="2">
        <f>$D31*24*3600/(invulblad!$C$6*invulblad!$C$7*invulblad!$C$8)/1000*3*$H31</f>
        <v>3.2786885245901639E-3</v>
      </c>
      <c r="O31" s="1"/>
    </row>
    <row r="32" spans="1:15" ht="13.5" customHeight="1">
      <c r="A32" s="10" t="str">
        <f>invulblad!E8</f>
        <v>- beroepsvaart</v>
      </c>
      <c r="B32" s="34">
        <f>MAX(B10,invulblad!H8)</f>
        <v>100</v>
      </c>
      <c r="C32" s="24">
        <f>invulblad!F8*Richtgetallen!C7/24/3600</f>
        <v>0</v>
      </c>
      <c r="D32" s="24">
        <f>invulblad!F8*Richtgetallen!E7/24/3600</f>
        <v>0</v>
      </c>
      <c r="E32" s="10"/>
      <c r="F32" s="10"/>
      <c r="G32" s="10"/>
      <c r="H32">
        <f>invulblad!I8</f>
        <v>1</v>
      </c>
      <c r="I32" s="3">
        <f>IF(B32&gt;SQRT(invulblad!$C$6^2+invulblad!$C$7^2),191000/$B32^1.2/MIN($B$5,invulblad!$C$8)*C32*H32/1000000,191000/$B32^1.2/MIN($B$5,invulblad!$C$8)*C32*H32/1000000*MAX(1,23*(invulblad!$C$10/(invulblad!$C$6*invulblad!$C$7))^1.5))</f>
        <v>0</v>
      </c>
      <c r="J32" s="3">
        <f>IF(B32&gt;SQRT(invulblad!$C$6^2+invulblad!$C$7^2),191000/$B32^1.2/MIN($B$5,invulblad!$C$8)*D32*H32/1000000,191000/$B32^1.2/MIN($B$5,invulblad!$C$8)*D32*H32/1000000*MAX(1,23*(invulblad!$C$10/(invulblad!$C$6*invulblad!$C$7))^1.5))</f>
        <v>0</v>
      </c>
      <c r="L32" s="2"/>
      <c r="M32" s="2">
        <f>$C32*24*3600/(invulblad!$C$6*invulblad!$C$7*invulblad!$C$8)/1000*3*$H32</f>
        <v>0</v>
      </c>
      <c r="N32" s="2">
        <f>$D32*24*3600/(invulblad!$C$6*invulblad!$C$7*invulblad!$C$8)/1000*3*$H32</f>
        <v>0</v>
      </c>
      <c r="O32" s="1"/>
    </row>
    <row r="33" spans="1:15" ht="13.5" customHeight="1">
      <c r="A33" s="10" t="str">
        <f>invulblad!E12</f>
        <v>- jachthavens (continue belasting)</v>
      </c>
      <c r="B33" s="34">
        <f>MAX(B10,invulblad!H12)</f>
        <v>39.894228040143268</v>
      </c>
      <c r="C33" s="24">
        <f>invulblad!G12*Richtgetallen!C11*1000/24/3600</f>
        <v>0</v>
      </c>
      <c r="D33" s="24">
        <f>invulblad!G12*Richtgetallen!E11*1000/24/3600</f>
        <v>0</v>
      </c>
      <c r="E33" s="10"/>
      <c r="F33" s="10"/>
      <c r="G33" s="10"/>
      <c r="H33">
        <f>invulblad!I12</f>
        <v>0</v>
      </c>
      <c r="I33" s="3">
        <f>IF(B33&gt;SQRT(invulblad!$C$6^2+invulblad!$C$7^2),191000/$B33^1.2/MIN($B$5,invulblad!$C$8)*C33*H33/1000000,191000/$B33^1.2/MIN($B$5,invulblad!$C$8)*C33*H33/1000000*MAX(1,23*(invulblad!$C$10/(invulblad!$C$6*invulblad!$C$7))^1.5))</f>
        <v>0</v>
      </c>
      <c r="J33" s="3">
        <f>IF(B33&gt;SQRT(invulblad!$C$6^2+invulblad!$C$7^2),191000/$B33^1.2/MIN($B$5,invulblad!$C$8)*D33*H33/1000000,191000/$B33^1.2/MIN($B$5,invulblad!$C$8)*D33*H33/1000000*MAX(1,23*(invulblad!$C$10/(invulblad!$C$6*invulblad!$C$7))^1.5))</f>
        <v>0</v>
      </c>
      <c r="L33" s="2"/>
      <c r="M33" s="2">
        <f>$C33*24*3600/(invulblad!$C$6*invulblad!$C$7*invulblad!$C$8)/1000*3*$H33</f>
        <v>0</v>
      </c>
      <c r="N33" s="2">
        <f>$D33*24*3600/(invulblad!$C$6*invulblad!$C$7*invulblad!$C$8)/1000*3*$H33</f>
        <v>0</v>
      </c>
      <c r="O33" s="1"/>
    </row>
    <row r="34" spans="1:15" ht="13.5" customHeight="1">
      <c r="A34" s="10" t="s">
        <v>62</v>
      </c>
      <c r="B34" s="34">
        <f>MAX($B$10,invulblad!H11)</f>
        <v>39.894228040143268</v>
      </c>
      <c r="C34" s="24">
        <f>invulblad!G11*Richtgetallen!C9*1000</f>
        <v>0</v>
      </c>
      <c r="D34" s="24">
        <f>invulblad!G11*Richtgetallen!E9*1000</f>
        <v>0</v>
      </c>
      <c r="E34" s="24"/>
      <c r="F34" s="24"/>
      <c r="G34" s="24"/>
      <c r="H34" s="13">
        <v>1</v>
      </c>
      <c r="I34" s="3">
        <f>IF(B34&gt;SQRT(invulblad!$C$6^2+invulblad!$C$7^2),191000/$B34^1.2/MIN($B$5,invulblad!$C$8)*C34*H34/1000000,191000/$B34^1.2/MIN($B$5,invulblad!$C$8)*C34*H34/1000000*MAX(1,23*(invulblad!$C$10/(invulblad!$C$6*invulblad!$C$7))^1.5))</f>
        <v>0</v>
      </c>
      <c r="J34" s="3">
        <f>IF(B34&gt;SQRT(invulblad!$C$6^2+invulblad!$C$7^2),191000/$B34^1.2/MIN($B$5,invulblad!$C$8)*D34*H34/1000000,191000/$B34^1.2/MIN($B$5,invulblad!$C$8)*D34*H34/1000000*MAX(1,23*(invulblad!$C$10/(invulblad!$C$6*invulblad!$C$7))^1.5))</f>
        <v>0</v>
      </c>
      <c r="L34" s="2"/>
      <c r="M34" s="2">
        <f>$C34*24*3600/(invulblad!$C$6*invulblad!$C$7*invulblad!$C$8)/1000*3*$H34</f>
        <v>0</v>
      </c>
      <c r="N34" s="2">
        <f>$D34*24*3600/(invulblad!$C$6*invulblad!$C$7*invulblad!$C$8)/1000*3*$H34</f>
        <v>0</v>
      </c>
      <c r="O34" s="1"/>
    </row>
    <row r="35" spans="1:15" ht="13.5" customHeight="1">
      <c r="A35" s="10" t="s">
        <v>264</v>
      </c>
      <c r="B35" s="34">
        <v>2</v>
      </c>
      <c r="C35" s="24">
        <f>invulblad!G19*Richtgetallen!C12/24/3600</f>
        <v>1736.1111111111111</v>
      </c>
      <c r="D35" s="24">
        <f>invulblad!G19*Richtgetallen!E12/24/3600</f>
        <v>1736.1111111111111</v>
      </c>
      <c r="E35" s="10"/>
      <c r="F35" s="10"/>
      <c r="G35" s="10"/>
      <c r="H35">
        <v>1</v>
      </c>
      <c r="I35" s="3">
        <f>IF(B35&gt;(invulblad!$C$6+invulblad!$C$7)/2,191000/$B35^1.2/MIN($B$5,invulblad!$C$8)*C35*H35/1000000,191000/$B35^1.2/MIN($B$5,invulblad!$C$8)*C35*H35/1000000)</f>
        <v>144.3360742964928</v>
      </c>
      <c r="J35" s="3">
        <f>IF(B35&gt;(invulblad!$C$6+invulblad!$C$7)/2,191000/$B35^1.2/MIN($B$5,invulblad!$C$8)*D35*H35/1000000,191000/$B35^1.2/MIN($B$5,invulblad!$C$8)*D35*H35/1000000)</f>
        <v>144.3360742964928</v>
      </c>
      <c r="L35" s="2"/>
      <c r="M35" s="2">
        <f>$C35*24*3600/(invulblad!$C$6*invulblad!$C$7*invulblad!$C$8)/1000*3*$H35</f>
        <v>4.5</v>
      </c>
      <c r="N35" s="2">
        <f>$D35*24*3600/(invulblad!$C$6*invulblad!$C$7*invulblad!$C$8)/1000*3*$H35</f>
        <v>4.5</v>
      </c>
      <c r="O35" s="1"/>
    </row>
    <row r="36" spans="1:15" ht="13.5" customHeight="1">
      <c r="A36" s="10" t="s">
        <v>231</v>
      </c>
      <c r="B36" s="34">
        <f>MAX($B$10,invulblad!H23)</f>
        <v>39.894228040143268</v>
      </c>
      <c r="C36" s="24">
        <f>invulblad!G23*Richtgetallen!C12/24/3600</f>
        <v>1736.1111111111111</v>
      </c>
      <c r="D36" s="24">
        <f>invulblad!G23*Richtgetallen!E12/24/3600</f>
        <v>1736.1111111111111</v>
      </c>
      <c r="E36" s="10"/>
      <c r="F36" s="10"/>
      <c r="G36" s="10"/>
      <c r="H36">
        <f>invulblad!I23</f>
        <v>1</v>
      </c>
      <c r="I36" s="3">
        <f>IF(B36&gt;SQRT(invulblad!$C$6^2+invulblad!$C$7^2),191000/$B36^1.2/MIN($B$5,invulblad!$C$8)*C36*H36/1000000,191000/$B36^1.2/MIN($B$5,invulblad!$C$8)*C36*H36/1000000*MAX(1,23*(invulblad!$C$10/(invulblad!$C$6*invulblad!$C$7))^1.5))</f>
        <v>3.9766631495095996</v>
      </c>
      <c r="J36" s="3">
        <f>IF(B36&gt;SQRT(invulblad!$C$6^2+invulblad!$C$7^2),191000/$B36^1.2/MIN($B$5,invulblad!$C$8)*D36*H36/1000000,191000/$B36^1.2/MIN($B$5,invulblad!$C$8)*D36*H36/1000000*MAX(1,23*(invulblad!$C$10/(invulblad!$C$6*invulblad!$C$7))))</f>
        <v>4.5731626219360404</v>
      </c>
      <c r="L36" s="46"/>
      <c r="M36" s="2">
        <f>$C36*24*3600/(invulblad!$C$6*invulblad!$C$7*invulblad!$C$8)/1000*3*$H36</f>
        <v>4.5</v>
      </c>
      <c r="N36" s="2">
        <f>$D36*24*3600/(invulblad!$C$6*invulblad!$C$7*invulblad!$C$8)/1000*3*$H36</f>
        <v>4.5</v>
      </c>
      <c r="O36" s="1"/>
    </row>
    <row r="37" spans="1:15" ht="13.5" customHeight="1">
      <c r="A37" s="10" t="s">
        <v>263</v>
      </c>
      <c r="B37" s="34">
        <v>2</v>
      </c>
      <c r="C37" s="24">
        <f>(invulblad!G18*10+invulblad!G17*5)*Richtgetallen!C12/24/3600</f>
        <v>11574.074074074073</v>
      </c>
      <c r="D37" s="24">
        <f>(invulblad!G18*10+invulblad!G17*5)*Richtgetallen!E12/24/3600</f>
        <v>11574.074074074073</v>
      </c>
      <c r="E37" s="10"/>
      <c r="F37" s="10"/>
      <c r="G37" s="10"/>
      <c r="H37">
        <v>1</v>
      </c>
      <c r="I37" s="3">
        <f>191000/$B37^1.2/MIN($B$5,invulblad!$C$8)*C37*H37/1000000</f>
        <v>962.24049530995194</v>
      </c>
      <c r="J37" s="3">
        <f>IF(B37&gt;(invulblad!$C$6+invulblad!$C$7)/2,191000/$B37^1.2/MIN($B$5,invulblad!$C$8)*D37*H37/1000000,191000/$B37^1.2/MIN($B$5,invulblad!$C$8)*D37*H37/1000000)</f>
        <v>962.24049530995194</v>
      </c>
      <c r="L37" s="2"/>
      <c r="M37" s="2">
        <f>$C37*24*3600/(invulblad!$C$6*invulblad!$C$7*invulblad!$C$8)/1000*3*$H37</f>
        <v>29.999999999999993</v>
      </c>
      <c r="N37" s="2">
        <f>$D37*24*3600/(invulblad!$C$6*invulblad!$C$7*invulblad!$C$8)/1000*3*$H37</f>
        <v>29.999999999999993</v>
      </c>
      <c r="O37" s="1"/>
    </row>
    <row r="38" spans="1:15" ht="13.5" customHeight="1">
      <c r="A38" s="10" t="s">
        <v>246</v>
      </c>
      <c r="B38" s="34">
        <f>MAX(B10,invulblad!H21)</f>
        <v>100</v>
      </c>
      <c r="C38" s="24">
        <f>(invulblad!G22*10+invulblad!G21*5)*Richtgetallen!C12/24/3600</f>
        <v>11574.074074074073</v>
      </c>
      <c r="D38" s="24">
        <f>(invulblad!G22*10+invulblad!G21*5)*Richtgetallen!E12/24/3600</f>
        <v>11574.074074074073</v>
      </c>
      <c r="E38" s="10"/>
      <c r="F38" s="10"/>
      <c r="G38" s="10"/>
      <c r="H38">
        <f>invulblad!I21</f>
        <v>1</v>
      </c>
      <c r="I38" s="3">
        <f>IF(B38&gt;SQRT(invulblad!$C$6^2+invulblad!$C$7^2),191000/$B38^1.2/MIN($B$5,invulblad!$C$8)*C38*H38/1000000,191000/$B38^1.2/MIN($B$5,invulblad!$C$8)*C38*H38/1000000*MAX(1,23*(invulblad!$C$10/(invulblad!$C$6*invulblad!$C$7))^1.5))</f>
        <v>8.8007487934858748</v>
      </c>
      <c r="J38" s="3">
        <f>IF(B38&gt;SQRT(invulblad!$C$6^2+invulblad!$C$7^2),191000/$B38^1.2/MIN($B$5,invulblad!$C$8)*D38*H38/1000000,191000/$B38^1.2/MIN($B$5,invulblad!$C$8)*D38*H38/1000000*MAX(1,23*(invulblad!$C$10/(invulblad!$C$6*invulblad!$C$7))))</f>
        <v>10.120861112508758</v>
      </c>
      <c r="L38" s="2"/>
      <c r="M38" s="2">
        <f>$C38*24*3600/(invulblad!$C$6*invulblad!$C$7*invulblad!$C$8)/1000*3*$H38</f>
        <v>29.999999999999993</v>
      </c>
      <c r="N38" s="2">
        <f>$D38*24*3600/(invulblad!$C$6*invulblad!$C$7*invulblad!$C$8)/1000*3*$H38</f>
        <v>29.999999999999993</v>
      </c>
      <c r="O38" s="1"/>
    </row>
    <row r="39" spans="1:15" ht="13.5" customHeight="1">
      <c r="A39" s="10" t="s">
        <v>183</v>
      </c>
      <c r="B39" s="40">
        <f>MAX(B10,invulblad!H13)</f>
        <v>100</v>
      </c>
      <c r="C39" s="1">
        <f>invulblad!G14/183/24/3600</f>
        <v>0</v>
      </c>
      <c r="D39" s="24">
        <f>invulblad!G15/183/24/3600</f>
        <v>0</v>
      </c>
      <c r="E39" s="1"/>
      <c r="H39">
        <f>invulblad!I13</f>
        <v>1</v>
      </c>
      <c r="I39" s="3">
        <f>IF(B39&gt;SQRT(invulblad!$C$6^2+invulblad!$C$7^2),191000/$B39^1.2/MIN($B$5,invulblad!$C$8)*C39*H39/1000000,191000/$B39^1.2/MIN($B$5,invulblad!$C$8)*C39*H39/1000000*MAX(1,23*(invulblad!$C$10/(invulblad!$C$6*invulblad!$C$7))^1.5))</f>
        <v>0</v>
      </c>
      <c r="J39" s="3">
        <f>IF(B39&gt;SQRT(invulblad!$C$6^2+invulblad!$C$7^2),191000/$B39^1.2/MIN($B$5,invulblad!$C$8)*D39*H39/1000000,191000/$B39^1.2/MIN($B$5,invulblad!$C$8)*D39*H39/1000000*MAX(1,23*(invulblad!$C$10/(invulblad!$C$6*invulblad!$C$7))^1.5))</f>
        <v>0</v>
      </c>
      <c r="L39" s="2"/>
      <c r="M39" s="2">
        <f>$C39*24*3600/(invulblad!$C$6*invulblad!$C$7*invulblad!$C$8)/1000*3*$H39</f>
        <v>0</v>
      </c>
      <c r="N39" s="2">
        <f>$D39*24*3600/(invulblad!$C$6*invulblad!$C$7*invulblad!$C$8)/1000*3*$H39</f>
        <v>0</v>
      </c>
    </row>
    <row r="40" spans="1:15" ht="13.5" customHeight="1">
      <c r="A40" s="10"/>
      <c r="C40" s="1"/>
      <c r="E40" s="1"/>
      <c r="I40" s="3"/>
      <c r="J40" s="3"/>
      <c r="L40" s="2"/>
      <c r="M40" s="2"/>
    </row>
    <row r="41" spans="1:15" ht="13.5" customHeight="1">
      <c r="A41" s="10"/>
      <c r="C41" s="1"/>
      <c r="E41" s="1"/>
      <c r="I41" s="3"/>
      <c r="J41" s="3"/>
      <c r="L41" s="2"/>
      <c r="M41" s="2"/>
    </row>
    <row r="42" spans="1:15">
      <c r="A42" s="115" t="s">
        <v>215</v>
      </c>
      <c r="B42" t="s">
        <v>106</v>
      </c>
      <c r="C42" t="s">
        <v>216</v>
      </c>
      <c r="D42" t="s">
        <v>217</v>
      </c>
      <c r="H42" t="s">
        <v>107</v>
      </c>
      <c r="I42" s="3"/>
      <c r="J42" s="3"/>
      <c r="L42" s="2"/>
      <c r="M42" s="2"/>
    </row>
    <row r="43" spans="1:15">
      <c r="A43" s="10" t="s">
        <v>42</v>
      </c>
      <c r="B43" s="34">
        <f>MAX($B$10,invulblad!H25)</f>
        <v>450</v>
      </c>
      <c r="C43" s="24">
        <f>Richtgetallen!C4*invulblad!G25*1000</f>
        <v>21420000000000</v>
      </c>
      <c r="D43" s="1">
        <f>Richtgetallen!E4*invulblad!G25*1000</f>
        <v>3570000000000</v>
      </c>
      <c r="E43" s="24"/>
      <c r="G43" s="24"/>
      <c r="H43" s="13">
        <f>invulblad!I25</f>
        <v>0.5</v>
      </c>
      <c r="I43" s="3">
        <f>IF(B43&gt;SQRT(invulblad!$C$6^2+invulblad!$C$7^2),1750/MAX(B43)^1.3/MIN($B$5,invulblad!$C$8)*C43*H43/10000000000,1750/MAX(B43)^1.3/MIN($B$5,invulblad!$C$8)*C43*H43/10000000000*MAX(1,100*(invulblad!$C$10/(invulblad!$C$6*invulblad!$C$7))^2))</f>
        <v>666.27152308190625</v>
      </c>
      <c r="J43" s="3">
        <f>IF(B43&gt;SQRT(invulblad!$C$6^2+invulblad!$C$7^2),1750/MAX(B43)^1.3/MIN($B$5,invulblad!$C$8)*D43*H43/10000000000,1750/MAX(B43)^1.3/MIN($B$5,invulblad!$C$8)*D43*H43/10000000000*MAX(1,137*(invulblad!$C$10/(invulblad!$C$6*invulblad!$C$7))^2))</f>
        <v>111.04525384698438</v>
      </c>
      <c r="L43" s="2"/>
      <c r="M43" s="2">
        <f>$C43/(invulblad!$C$6*invulblad!$C$7*invulblad!$C$8)/1000*$H43</f>
        <v>107100</v>
      </c>
      <c r="N43" s="2">
        <f>$D43/(invulblad!$C$6*invulblad!$C$7*invulblad!$C$8)/1000*$H43</f>
        <v>17850</v>
      </c>
    </row>
    <row r="44" spans="1:15">
      <c r="A44" s="10" t="s">
        <v>43</v>
      </c>
      <c r="B44" s="34">
        <f>MAX($B$10,invulblad!H26)</f>
        <v>39.894228040143268</v>
      </c>
      <c r="C44" s="24">
        <f>Richtgetallen!C5*invulblad!G26*1000</f>
        <v>0</v>
      </c>
      <c r="D44" s="24">
        <f>Richtgetallen!E5*invulblad!G26*1000</f>
        <v>0</v>
      </c>
      <c r="E44" s="24"/>
      <c r="F44" s="24"/>
      <c r="G44" s="24"/>
      <c r="H44" s="13">
        <f>invulblad!I26</f>
        <v>0</v>
      </c>
      <c r="I44" s="3">
        <f>IF(B44&gt;SQRT(invulblad!$C$6^2+invulblad!$C$7^2),1750/MAX(B44)^1.3/MIN($B$5,invulblad!$C$8)*C44*H44/10000000000,1750/MAX(B44)^1.3/MIN($B$5,invulblad!$C$8)*C44*H44/10000000000*MAX(1,137*(invulblad!$C$10/(invulblad!$C$6*invulblad!$C$7))^2))</f>
        <v>0</v>
      </c>
      <c r="J44" s="3">
        <f>IF(B44&gt;SQRT(invulblad!$C$6^2+invulblad!$C$7^2),1750/MAX(B44)^1.3/MIN($B$5,invulblad!$C$8)*D44*H44/10000000000,1750/MAX(B44)^1.3/MIN($B$5,invulblad!$C$8)*D44*H44/10000000000*MAX(1,137*(invulblad!$C$10/(invulblad!$C$6*invulblad!$C$7))^2))</f>
        <v>0</v>
      </c>
      <c r="L44" s="2"/>
      <c r="M44" s="2">
        <f>$C44/(invulblad!$C$6*invulblad!$C$7*invulblad!$C$8)/1000*$H44</f>
        <v>0</v>
      </c>
      <c r="N44" s="2">
        <f>$D44/(invulblad!$C$6*invulblad!$C$7*invulblad!$C$8)/1000*$H44</f>
        <v>0</v>
      </c>
    </row>
    <row r="45" spans="1:15" ht="15.75" customHeight="1">
      <c r="A45" s="10" t="s">
        <v>103</v>
      </c>
      <c r="B45" s="34">
        <f>MAX($B$10,invulblad!H27)</f>
        <v>39.894228040143268</v>
      </c>
      <c r="C45" s="24">
        <f>invulblad!G27*Richtgetallen!C10*1000</f>
        <v>0</v>
      </c>
      <c r="D45" s="24">
        <f>invulblad!G27*Richtgetallen!E10*1000</f>
        <v>0</v>
      </c>
      <c r="E45" s="24"/>
      <c r="F45" s="24"/>
      <c r="G45" s="24"/>
      <c r="H45" s="13">
        <f>invulblad!I27</f>
        <v>0</v>
      </c>
      <c r="I45" s="3">
        <f>IF(B45&gt;SQRT(invulblad!$C$6^2+invulblad!$C$7^2),1750/MAX(B45)^1.3/MIN($B$5,invulblad!$C$8)*C45*H45/10000000000,1750/MAX(B45)^1.3/MIN($B$5,invulblad!$C$8)*C45*H45/10000000000*MAX(1,137*(invulblad!$C$10/(invulblad!$C$6*invulblad!$C$7))^2))</f>
        <v>0</v>
      </c>
      <c r="J45" s="3">
        <f>IF(B45&gt;SQRT(invulblad!$C$6^2+invulblad!$C$7^2),1750/MAX(B45)^1.3/MIN($B$5,invulblad!$C$8)*D45*H45/10000000000,1750/MAX(B45)^1.3/MIN($B$5,invulblad!$C$8)*D45*H45/10000000000*MAX(1,137*(invulblad!$C$10/(invulblad!$C$6*invulblad!$C$7))^2))</f>
        <v>0</v>
      </c>
      <c r="L45" s="2"/>
      <c r="M45" s="2">
        <f>$C45/(invulblad!$C$6*invulblad!$C$7*invulblad!$C$8)/1000*$H45</f>
        <v>0</v>
      </c>
      <c r="N45" s="2">
        <f>$D45/(invulblad!$C$6*invulblad!$C$7*invulblad!$C$8)/1000*$H45</f>
        <v>0</v>
      </c>
    </row>
    <row r="46" spans="1:15">
      <c r="A46" s="10" t="s">
        <v>104</v>
      </c>
      <c r="B46" s="34">
        <f>MAX($B$10,invulblad!H28)</f>
        <v>39.894228040143268</v>
      </c>
      <c r="C46" s="24">
        <f>invulblad!G28*Richtgetallen!C14*1000</f>
        <v>71400000000</v>
      </c>
      <c r="D46" s="24">
        <f>invulblad!G28*Richtgetallen!E14*1000</f>
        <v>8925000000</v>
      </c>
      <c r="E46" s="24"/>
      <c r="F46" s="24"/>
      <c r="G46" s="24"/>
      <c r="H46">
        <f>invulblad!I28</f>
        <v>0.1</v>
      </c>
      <c r="I46" s="3">
        <f>IF(B46&gt;SQRT(invulblad!$C$6^2+invulblad!$C$7^2),1750/MAX(B46)^1.3/MIN($B$5,invulblad!$C$8)*C46*H46/10000000000,1750/MAX(B46)^1.3/MIN($B$5,invulblad!$C$8)*C46*H46/10000000000*MAX(1,137*(invulblad!$C$10/(invulblad!$C$6*invulblad!$C$7))^2))</f>
        <v>10.364615007193992</v>
      </c>
      <c r="J46" s="3">
        <f>IF(B46&gt;SQRT(invulblad!$C$6^2+invulblad!$C$7^2),1750/MAX(B46)^1.3/MIN($B$5,invulblad!$C$8)*D46*H46/10000000000,1750/MAX(B46)^1.3/MIN($B$5,invulblad!$C$8)*D46*H46/10000000000*MAX(1,137*(invulblad!$C$10/(invulblad!$C$6*invulblad!$C$7))^2))</f>
        <v>1.295576875899249</v>
      </c>
      <c r="L46" s="2"/>
      <c r="M46" s="2">
        <f>$C46/(invulblad!$C$6*invulblad!$C$7*invulblad!$C$8)/1000*$H46</f>
        <v>71.400000000000006</v>
      </c>
      <c r="N46" s="2">
        <f>$D46/(invulblad!$C$6*invulblad!$C$7*invulblad!$C$8)/1000*$H46</f>
        <v>8.9250000000000007</v>
      </c>
    </row>
    <row r="47" spans="1:15">
      <c r="A47" s="10" t="s">
        <v>182</v>
      </c>
      <c r="B47" s="34">
        <f>MAX($B$10,invulblad!H29)</f>
        <v>40</v>
      </c>
      <c r="C47" s="1">
        <f>invulblad!G29*invulblad!F30*1000</f>
        <v>3750000000</v>
      </c>
      <c r="D47" s="1">
        <f>invulblad!G29*invulblad!F31*1000</f>
        <v>1500000000</v>
      </c>
      <c r="H47">
        <f>invulblad!I29</f>
        <v>1</v>
      </c>
      <c r="I47" s="3">
        <f>IF(B47&gt;SQRT(invulblad!$C$6^2+invulblad!$C$7^2),1750/MAX(B47)^1.3/MIN($B$5,invulblad!$C$8)*C47*H47/10000000000,1750/MAX(B47)^1.3/MIN($B$5,invulblad!$C$8)*C47*H47/10000000000*MAX(1,137*(invulblad!$C$10/(invulblad!$C$6*invulblad!$C$7))^2))</f>
        <v>5.4248948869300531</v>
      </c>
      <c r="J47" s="3">
        <f>IF(B47&gt;SQRT(invulblad!$C$6^2+invulblad!$C$7^2),1750/MAX(B47)^1.3/MIN($B$5,invulblad!$C$8)*D47*H47/10000000000,1750/MAX(B47)^1.3/MIN($B$5,invulblad!$C$8)*D47*H47/10000000000*MAX(1,137*(invulblad!$C$10/(invulblad!$C$6*invulblad!$C$7))^2))</f>
        <v>2.1699579547720211</v>
      </c>
      <c r="L47" s="2"/>
      <c r="M47" s="2">
        <f>$C47/(invulblad!$C$6*invulblad!$C$7*invulblad!$C$8)/1000*$H47</f>
        <v>37.5</v>
      </c>
      <c r="N47" s="2">
        <f>$D47/(invulblad!$C$6*invulblad!$C$7*invulblad!$C$8)/1000*$H47</f>
        <v>15</v>
      </c>
    </row>
    <row r="49" spans="1:13">
      <c r="A49" s="10"/>
      <c r="C49" s="1"/>
      <c r="E49" s="1"/>
      <c r="I49" s="1"/>
      <c r="J49" s="1"/>
      <c r="L49" s="1"/>
      <c r="M49" s="1"/>
    </row>
    <row r="50" spans="1:13">
      <c r="A50" s="10"/>
      <c r="C50" s="1"/>
      <c r="E50" s="1"/>
      <c r="I50" s="1"/>
      <c r="J50" s="1"/>
      <c r="L50" s="1"/>
      <c r="M50" s="2"/>
    </row>
    <row r="51" spans="1:13">
      <c r="M51" s="124"/>
    </row>
    <row r="52" spans="1:13">
      <c r="A52" t="s">
        <v>125</v>
      </c>
    </row>
    <row r="53" spans="1:13">
      <c r="A53" t="s">
        <v>153</v>
      </c>
      <c r="B53" t="s">
        <v>204</v>
      </c>
      <c r="H53" t="s">
        <v>155</v>
      </c>
    </row>
    <row r="54" spans="1:13">
      <c r="A54" t="s">
        <v>154</v>
      </c>
      <c r="B54" t="s">
        <v>205</v>
      </c>
    </row>
    <row r="55" spans="1:13" ht="13.5" customHeight="1"/>
    <row r="56" spans="1:13" ht="13.5" customHeight="1"/>
    <row r="61" spans="1:13">
      <c r="A61" t="s">
        <v>219</v>
      </c>
      <c r="B61" t="s">
        <v>141</v>
      </c>
    </row>
    <row r="62" spans="1:13">
      <c r="A62" t="s">
        <v>108</v>
      </c>
      <c r="B62">
        <v>3</v>
      </c>
    </row>
    <row r="63" spans="1:13">
      <c r="A63" t="s">
        <v>26</v>
      </c>
      <c r="B63">
        <v>6</v>
      </c>
    </row>
    <row r="64" spans="1:13">
      <c r="B64">
        <v>9</v>
      </c>
    </row>
    <row r="65" spans="1:1">
      <c r="A65" t="s">
        <v>109</v>
      </c>
    </row>
    <row r="66" spans="1:1">
      <c r="A66" t="s">
        <v>111</v>
      </c>
    </row>
    <row r="67" spans="1:1">
      <c r="A67" t="s">
        <v>110</v>
      </c>
    </row>
  </sheetData>
  <sheetProtection password="C630" sheet="1" objects="1" scenarios="1"/>
  <phoneticPr fontId="2" type="noConversion"/>
  <pageMargins left="0.75" right="0.75" top="1" bottom="1" header="0.5" footer="0.5"/>
  <pageSetup paperSize="9"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L64"/>
  <sheetViews>
    <sheetView topLeftCell="A13" zoomScale="85" workbookViewId="0">
      <pane xSplit="1" topLeftCell="B1" activePane="topRight" state="frozen"/>
      <selection pane="topRight" activeCell="C25" sqref="C25"/>
    </sheetView>
  </sheetViews>
  <sheetFormatPr defaultRowHeight="13.2"/>
  <cols>
    <col min="1" max="1" width="36.33203125" customWidth="1"/>
    <col min="2" max="2" width="12.5546875" bestFit="1" customWidth="1"/>
    <col min="3" max="3" width="16.109375" customWidth="1"/>
    <col min="4" max="4" width="15.33203125" customWidth="1"/>
    <col min="5" max="5" width="14.33203125" customWidth="1"/>
    <col min="6" max="6" width="13" customWidth="1"/>
    <col min="7" max="7" width="10.88671875" customWidth="1"/>
    <col min="8" max="8" width="7" customWidth="1"/>
    <col min="9" max="9" width="11.6640625" customWidth="1"/>
    <col min="10" max="10" width="11.5546875" customWidth="1"/>
    <col min="11" max="11" width="12.44140625" bestFit="1" customWidth="1"/>
    <col min="14" max="14" width="5.5546875" customWidth="1"/>
  </cols>
  <sheetData>
    <row r="1" spans="1:12">
      <c r="A1" s="10" t="s">
        <v>8</v>
      </c>
    </row>
    <row r="2" spans="1:12">
      <c r="A2" s="10"/>
    </row>
    <row r="3" spans="1:12">
      <c r="A3" s="10"/>
      <c r="B3" s="10"/>
    </row>
    <row r="4" spans="1:12">
      <c r="A4" s="10" t="s">
        <v>151</v>
      </c>
      <c r="B4">
        <f>invulblad!C6*invulblad!C7*invulblad!C8</f>
        <v>100000</v>
      </c>
      <c r="C4" t="s">
        <v>10</v>
      </c>
    </row>
    <row r="5" spans="1:12">
      <c r="A5" s="10" t="s">
        <v>19</v>
      </c>
      <c r="B5">
        <f>invulblad!C9/(invulblad!C6*invulblad!C8)*1000</f>
        <v>1</v>
      </c>
      <c r="C5" t="s">
        <v>20</v>
      </c>
      <c r="D5">
        <f>invulblad!C9/(invulblad!C6*invulblad!C8)*24*3600</f>
        <v>86.4</v>
      </c>
      <c r="E5" t="s">
        <v>224</v>
      </c>
    </row>
    <row r="6" spans="1:12">
      <c r="A6" s="10" t="s">
        <v>28</v>
      </c>
      <c r="B6">
        <f>invulblad!C8*invulblad!C10</f>
        <v>5000</v>
      </c>
      <c r="C6">
        <f>MIN(B6,invulblad!F5*invulblad!C11*2)</f>
        <v>240</v>
      </c>
      <c r="D6">
        <f>MIN(B6,invulblad!G5*invulblad!C11*2)</f>
        <v>5000</v>
      </c>
    </row>
    <row r="7" spans="1:12">
      <c r="A7" s="10" t="s">
        <v>30</v>
      </c>
      <c r="B7" s="2">
        <f>((invulblad!C10/invulblad!C12/2)/invulblad!C6)^0.3</f>
        <v>0.33578780612150128</v>
      </c>
      <c r="D7" s="2"/>
      <c r="K7" s="10"/>
    </row>
    <row r="8" spans="1:12">
      <c r="A8" s="10" t="s">
        <v>31</v>
      </c>
      <c r="B8" s="2">
        <f>(invulblad!C12/2/'rekenblad kanalen'!B5)*1000/3600</f>
        <v>13.194444444444445</v>
      </c>
      <c r="C8" t="s">
        <v>32</v>
      </c>
      <c r="K8" s="10"/>
    </row>
    <row r="9" spans="1:12">
      <c r="A9" s="10" t="s">
        <v>213</v>
      </c>
      <c r="B9" s="2">
        <f>(invulblad!C10/PI())^0.5</f>
        <v>39.894228040143268</v>
      </c>
      <c r="C9" s="13" t="s">
        <v>226</v>
      </c>
      <c r="D9" s="10"/>
      <c r="E9" s="10"/>
      <c r="H9" s="13"/>
      <c r="K9" s="10"/>
    </row>
    <row r="10" spans="1:12">
      <c r="A10" s="10" t="s">
        <v>228</v>
      </c>
      <c r="B10" s="13">
        <f>MAX(100,D5/24)</f>
        <v>100</v>
      </c>
      <c r="C10" s="13" t="s">
        <v>226</v>
      </c>
      <c r="D10" s="10"/>
      <c r="E10" s="10"/>
      <c r="K10" s="10" t="s">
        <v>23</v>
      </c>
    </row>
    <row r="11" spans="1:12">
      <c r="A11" s="10" t="s">
        <v>227</v>
      </c>
      <c r="B11" s="45">
        <f>invulblad!C8*invulblad!C6*B10</f>
        <v>100000</v>
      </c>
      <c r="C11" s="13" t="s">
        <v>10</v>
      </c>
      <c r="D11" s="1"/>
      <c r="E11" s="1"/>
      <c r="F11" s="2"/>
      <c r="G11" s="2"/>
      <c r="K11" s="10" t="s">
        <v>27</v>
      </c>
      <c r="L11" t="s">
        <v>33</v>
      </c>
    </row>
    <row r="12" spans="1:12">
      <c r="B12" s="2"/>
      <c r="D12" s="1"/>
      <c r="E12" s="1"/>
      <c r="F12" s="2"/>
      <c r="G12" s="2"/>
      <c r="I12" s="10"/>
      <c r="J12" s="10"/>
      <c r="K12" s="10" t="s">
        <v>39</v>
      </c>
      <c r="L12" t="s">
        <v>34</v>
      </c>
    </row>
    <row r="13" spans="1:12">
      <c r="B13" s="2"/>
      <c r="D13" s="1"/>
      <c r="E13" s="1"/>
      <c r="F13" s="2"/>
      <c r="G13" s="2"/>
      <c r="I13" s="10"/>
      <c r="J13" s="10"/>
      <c r="K13" s="10" t="s">
        <v>38</v>
      </c>
    </row>
    <row r="14" spans="1:12">
      <c r="B14" s="2"/>
      <c r="D14" s="1"/>
      <c r="E14" s="1"/>
      <c r="F14" s="2"/>
      <c r="G14" s="2"/>
      <c r="I14" s="10"/>
      <c r="J14" s="10"/>
      <c r="K14" s="10"/>
    </row>
    <row r="15" spans="1:12">
      <c r="B15" s="2"/>
      <c r="D15" s="1"/>
      <c r="E15" s="1"/>
      <c r="F15" s="2"/>
      <c r="G15" s="2"/>
      <c r="I15" s="10"/>
      <c r="J15" s="10"/>
      <c r="K15" s="10"/>
    </row>
    <row r="16" spans="1:12">
      <c r="B16" s="2"/>
      <c r="D16" s="1"/>
      <c r="E16" s="1"/>
      <c r="F16" s="2"/>
      <c r="G16" s="2"/>
      <c r="I16" s="10" t="s">
        <v>185</v>
      </c>
      <c r="J16" s="10" t="s">
        <v>53</v>
      </c>
      <c r="K16" s="10"/>
    </row>
    <row r="17" spans="1:10">
      <c r="A17" s="115" t="s">
        <v>268</v>
      </c>
      <c r="D17" s="2"/>
      <c r="E17" s="2"/>
      <c r="I17" s="10" t="s">
        <v>26</v>
      </c>
      <c r="J17" s="10" t="s">
        <v>26</v>
      </c>
    </row>
    <row r="18" spans="1:10">
      <c r="A18" s="10" t="s">
        <v>44</v>
      </c>
      <c r="I18" s="2">
        <f>Richtgetallen!C6*invulblad!F5/6/3600/B6/1000*((invulblad!C12/2)/'rekenblad kanalen'!B5)*B7</f>
        <v>0.17722134211968124</v>
      </c>
      <c r="J18" s="2">
        <f>Richtgetallen!E6*invulblad!F5/6/3600/B6/1000*((invulblad!C12/2)/'rekenblad kanalen'!B5)*B7</f>
        <v>8.8610671059840621E-2</v>
      </c>
    </row>
    <row r="19" spans="1:10">
      <c r="A19" s="10" t="s">
        <v>281</v>
      </c>
      <c r="I19" s="2">
        <f>Richtgetallen!C6*invulblad!G5/6/3600/B6/1000*((invulblad!C12/2)/'rekenblad kanalen'!B5)*B7</f>
        <v>4.1351646494592291</v>
      </c>
      <c r="J19" s="2">
        <f>Richtgetallen!E6*invulblad!G5/6/3600/B6/1000*((invulblad!C12/2)/'rekenblad kanalen'!B5)*B7</f>
        <v>2.0675823247296146</v>
      </c>
    </row>
    <row r="20" spans="1:10">
      <c r="A20" s="10"/>
      <c r="D20" s="1"/>
    </row>
    <row r="21" spans="1:10">
      <c r="A21" s="115" t="s">
        <v>267</v>
      </c>
      <c r="D21" s="1"/>
      <c r="I21" s="2"/>
      <c r="J21" s="2"/>
    </row>
    <row r="22" spans="1:10">
      <c r="A22" s="10" t="s">
        <v>44</v>
      </c>
      <c r="D22" s="1"/>
      <c r="I22" s="2">
        <f>invulblad!F5*Richtgetallen!C6/(C6)/1000*B7</f>
        <v>1678.9390306075063</v>
      </c>
      <c r="J22" s="2">
        <f>invulblad!F5*Richtgetallen!E6/(C6)/1000*B7</f>
        <v>839.46951530375316</v>
      </c>
    </row>
    <row r="23" spans="1:10">
      <c r="A23" s="10" t="s">
        <v>281</v>
      </c>
      <c r="D23" s="1"/>
      <c r="I23" s="2">
        <f>invulblad!G5*Richtgetallen!C6/(D6)/1000*B7</f>
        <v>1880.4117142804071</v>
      </c>
      <c r="J23" s="2">
        <f>invulblad!G5*Richtgetallen!E6/(D6)/1000*B7</f>
        <v>940.20585714020353</v>
      </c>
    </row>
    <row r="24" spans="1:10">
      <c r="A24" s="10"/>
      <c r="B24" s="40"/>
    </row>
    <row r="25" spans="1:10">
      <c r="A25" s="10" t="s">
        <v>2</v>
      </c>
      <c r="B25" t="s">
        <v>106</v>
      </c>
      <c r="C25" t="s">
        <v>221</v>
      </c>
      <c r="D25" t="s">
        <v>188</v>
      </c>
      <c r="E25" t="s">
        <v>222</v>
      </c>
      <c r="F25" t="s">
        <v>223</v>
      </c>
    </row>
    <row r="26" spans="1:10">
      <c r="A26" s="10" t="s">
        <v>35</v>
      </c>
      <c r="B26">
        <f>MAX(B10,invulblad!H7)</f>
        <v>100</v>
      </c>
      <c r="C26" s="1">
        <f>invulblad!F7*Richtgetallen!C7/12/3600</f>
        <v>0</v>
      </c>
      <c r="D26" s="1">
        <f>invulblad!F7*Richtgetallen!E7/12/3600</f>
        <v>0</v>
      </c>
      <c r="E26" s="38">
        <v>0</v>
      </c>
      <c r="F26" s="46">
        <f>invulblad!$C$9</f>
        <v>1</v>
      </c>
      <c r="H26">
        <f>invulblad!I7</f>
        <v>1</v>
      </c>
      <c r="I26" s="2">
        <f>C26/(E26+invulblad!$C$9)*EXP(-B26/$D$5*0.4)/1000*H26</f>
        <v>0</v>
      </c>
      <c r="J26" s="2">
        <f>D26/(E26+invulblad!$C$9)*EXP(-B26/$D$5*0.4)/1000*H26</f>
        <v>0</v>
      </c>
    </row>
    <row r="27" spans="1:10">
      <c r="A27" s="10" t="s">
        <v>218</v>
      </c>
      <c r="B27">
        <f>MAX(B10,invulblad!H7)</f>
        <v>100</v>
      </c>
      <c r="C27" s="1">
        <f>invulblad!G7*Richtgetallen!C7/12/3600</f>
        <v>0</v>
      </c>
      <c r="D27" s="1">
        <f>invulblad!G7*Richtgetallen!E7/12/3600</f>
        <v>0</v>
      </c>
      <c r="E27" s="38">
        <v>0</v>
      </c>
      <c r="F27" s="46">
        <f>invulblad!$C$9</f>
        <v>1</v>
      </c>
      <c r="H27">
        <f>H26</f>
        <v>1</v>
      </c>
      <c r="I27" s="2">
        <f>C27/(E27+invulblad!$C$9)*EXP(-B27/$D$5*0.4)/1000*H27</f>
        <v>0</v>
      </c>
      <c r="J27" s="2">
        <f>D27/(E27+invulblad!$C$9)*EXP(-B27/$D$5*0.4)/1000*H27</f>
        <v>0</v>
      </c>
    </row>
    <row r="28" spans="1:10">
      <c r="H28" t="s">
        <v>107</v>
      </c>
      <c r="I28" t="s">
        <v>284</v>
      </c>
      <c r="J28" t="s">
        <v>284</v>
      </c>
    </row>
    <row r="29" spans="1:10">
      <c r="A29" s="115" t="s">
        <v>220</v>
      </c>
      <c r="B29" t="s">
        <v>106</v>
      </c>
      <c r="C29" t="s">
        <v>221</v>
      </c>
      <c r="D29" t="s">
        <v>188</v>
      </c>
      <c r="E29" t="s">
        <v>222</v>
      </c>
      <c r="F29" t="s">
        <v>223</v>
      </c>
    </row>
    <row r="30" spans="1:10">
      <c r="A30" s="10" t="s">
        <v>128</v>
      </c>
      <c r="B30" s="13">
        <f>MAX(B9,invulblad!H10)</f>
        <v>39.894228040143268</v>
      </c>
      <c r="C30" s="24">
        <f>invulblad!G10*Richtgetallen!C8*1000</f>
        <v>20000000</v>
      </c>
      <c r="D30" s="24">
        <f>invulblad!G10*Richtgetallen!E8*1000</f>
        <v>10000000</v>
      </c>
      <c r="E30" s="46">
        <f>invulblad!G10</f>
        <v>0.1</v>
      </c>
      <c r="F30" s="46">
        <f>invulblad!$C$9</f>
        <v>1</v>
      </c>
      <c r="G30" s="24"/>
      <c r="H30" s="34">
        <f>invulblad!I10</f>
        <v>1E-3</v>
      </c>
      <c r="I30" s="2">
        <f>C30/(E30+invulblad!$C$9)*EXP(-B30/$D$5*0.4)/1000*H30</f>
        <v>15.115588972473848</v>
      </c>
      <c r="J30" s="2">
        <f>D30/(E30+invulblad!$C$9)*EXP(-B30/$D$5*0.4)/1000*H30</f>
        <v>7.557794486236924</v>
      </c>
    </row>
    <row r="31" spans="1:10">
      <c r="A31" s="10" t="s">
        <v>184</v>
      </c>
      <c r="B31" s="13">
        <f>MAX(invulblad!C12/2,invulblad!H33)</f>
        <v>100</v>
      </c>
      <c r="C31" s="24">
        <f>invulblad!F34*VLOOKUP(invulblad!$F$35,Richtgetallen!B25:E32,invulblad!$F$33+1)/24/3600/183</f>
        <v>24.666059502125076</v>
      </c>
      <c r="D31" s="24">
        <f>invulblad!F34*VLOOKUP(invulblad!$F$35,Richtgetallen!B38:E45,invulblad!$F$33+1)/24/3600/183</f>
        <v>1.2649261283141064</v>
      </c>
      <c r="E31" s="46">
        <v>0</v>
      </c>
      <c r="F31" s="46">
        <f>invulblad!$C$9</f>
        <v>1</v>
      </c>
      <c r="G31" s="24"/>
      <c r="H31" s="13">
        <f>invulblad!I33</f>
        <v>1</v>
      </c>
      <c r="I31" s="2">
        <f>C31/(E31+invulblad!$C$9)*EXP(-B31/$D$5*0.4)/1000*H31</f>
        <v>1.5525211120816614E-2</v>
      </c>
      <c r="J31" s="2">
        <f>D31/(E31+invulblad!$C$9)*EXP(-B31/$D$5*0.4)/1000*H31</f>
        <v>7.961646728623904E-4</v>
      </c>
    </row>
    <row r="32" spans="1:10">
      <c r="A32" s="10" t="str">
        <f>invulblad!E8</f>
        <v>- beroepsvaart</v>
      </c>
      <c r="B32" s="13">
        <f>MAX(invulblad!C12/2,invulblad!H8)</f>
        <v>100</v>
      </c>
      <c r="C32" s="24">
        <f>invulblad!F8*Richtgetallen!C7/24/3600</f>
        <v>0</v>
      </c>
      <c r="D32" s="24">
        <f>invulblad!F8*Richtgetallen!E7/24/3600</f>
        <v>0</v>
      </c>
      <c r="E32" s="46">
        <v>0</v>
      </c>
      <c r="F32" s="46">
        <f>invulblad!$C$9</f>
        <v>1</v>
      </c>
      <c r="G32" s="10"/>
      <c r="H32">
        <f>invulblad!I8</f>
        <v>1</v>
      </c>
      <c r="I32" s="2">
        <f>C32/(E32+invulblad!$C$9)*EXP(-B32/$D$5*0.4)/1000*H32</f>
        <v>0</v>
      </c>
      <c r="J32" s="2">
        <f>D32/(E32+invulblad!$C$9)*EXP(-B32/$D$5*0.4)/1000*H32</f>
        <v>0</v>
      </c>
    </row>
    <row r="33" spans="1:10">
      <c r="A33" s="10" t="str">
        <f>invulblad!E12</f>
        <v>- jachthavens (continue belasting)</v>
      </c>
      <c r="B33" s="13">
        <f>MAX(invulblad!C12/2,invulblad!H12)</f>
        <v>47.5</v>
      </c>
      <c r="C33" s="24">
        <f>invulblad!G12*Richtgetallen!C11*1000</f>
        <v>0</v>
      </c>
      <c r="D33" s="24">
        <f>invulblad!G12*Richtgetallen!E11*1000</f>
        <v>0</v>
      </c>
      <c r="E33" s="46">
        <f>invulblad!G12</f>
        <v>0</v>
      </c>
      <c r="F33" s="46">
        <f>invulblad!$C$9</f>
        <v>1</v>
      </c>
      <c r="G33" s="10"/>
      <c r="H33">
        <f>invulblad!I12</f>
        <v>0</v>
      </c>
      <c r="I33" s="2">
        <f>C33/(E33+invulblad!$C$9)*EXP(-B33/$D$5*0.4)/1000*H33</f>
        <v>0</v>
      </c>
      <c r="J33" s="2">
        <f>D33/(E33+invulblad!$C$9)*EXP(-B33/$D$5*0.4)/1000*H33</f>
        <v>0</v>
      </c>
    </row>
    <row r="34" spans="1:10">
      <c r="A34" s="10" t="s">
        <v>62</v>
      </c>
      <c r="B34" s="13">
        <f>MAX(invulblad!C12/2,invulblad!H11)</f>
        <v>47.5</v>
      </c>
      <c r="C34" s="24">
        <f>invulblad!G11*Richtgetallen!C9*1000</f>
        <v>0</v>
      </c>
      <c r="D34" s="24">
        <f>invulblad!G11*Richtgetallen!E9*1000</f>
        <v>0</v>
      </c>
      <c r="E34" s="46">
        <f>invulblad!G11</f>
        <v>0</v>
      </c>
      <c r="F34" s="46">
        <f>invulblad!$C$9</f>
        <v>1</v>
      </c>
      <c r="G34" s="24"/>
      <c r="H34" s="13">
        <f>invulblad!I11</f>
        <v>0</v>
      </c>
      <c r="I34" s="2">
        <f>C34/(E34+invulblad!$C$9)*EXP(-B34/$D$5*0.4)/1000*H34</f>
        <v>0</v>
      </c>
      <c r="J34" s="2">
        <f>D34/(E34+invulblad!$C$9)*EXP(-B34/$D$5*0.4)/1000*H34</f>
        <v>0</v>
      </c>
    </row>
    <row r="35" spans="1:10">
      <c r="A35" s="10" t="s">
        <v>264</v>
      </c>
      <c r="B35" s="13">
        <v>1</v>
      </c>
      <c r="C35" s="24">
        <f>invulblad!G19*Richtgetallen!C12/24/3600</f>
        <v>1736.1111111111111</v>
      </c>
      <c r="D35" s="24">
        <f>invulblad!G19*Richtgetallen!E12/24/3600</f>
        <v>1736.1111111111111</v>
      </c>
      <c r="E35" s="46">
        <v>0</v>
      </c>
      <c r="F35" s="46">
        <f>invulblad!$C$9</f>
        <v>1</v>
      </c>
      <c r="G35" s="10"/>
      <c r="H35">
        <v>1</v>
      </c>
      <c r="I35" s="2">
        <f>C35/(E35+invulblad!$C$9)*EXP(-B35/$D$5*0.4)/1000*H35</f>
        <v>1.7280921364350279</v>
      </c>
      <c r="J35" s="2">
        <f>D35/(E35+invulblad!$C$9)*EXP(-B35/$D$5*0.4)/1000*H35</f>
        <v>1.7280921364350279</v>
      </c>
    </row>
    <row r="36" spans="1:10">
      <c r="A36" s="10" t="s">
        <v>231</v>
      </c>
      <c r="B36" s="13">
        <f>MAX(invulblad!C12/2,invulblad!H23)</f>
        <v>47.5</v>
      </c>
      <c r="C36" s="24">
        <f>invulblad!G23*Richtgetallen!C12/24/3600</f>
        <v>1736.1111111111111</v>
      </c>
      <c r="D36" s="24">
        <f>invulblad!G23*Richtgetallen!E12/24/3600</f>
        <v>1736.1111111111111</v>
      </c>
      <c r="E36" s="46">
        <v>0</v>
      </c>
      <c r="F36" s="46">
        <f>invulblad!$C$9</f>
        <v>1</v>
      </c>
      <c r="G36" s="10"/>
      <c r="H36">
        <f>invulblad!I23</f>
        <v>1</v>
      </c>
      <c r="I36" s="2">
        <f>C36/(E36+invulblad!$C$9)*EXP(-B36/$D$5*0.4)/1000*H36</f>
        <v>1.3933908137132724</v>
      </c>
      <c r="J36" s="2">
        <f>D36/(E36+invulblad!$C$9)*EXP(-B36/$D$5*0.4)/1000*H36</f>
        <v>1.3933908137132724</v>
      </c>
    </row>
    <row r="37" spans="1:10">
      <c r="A37" s="10" t="s">
        <v>214</v>
      </c>
      <c r="B37" s="13">
        <v>1</v>
      </c>
      <c r="C37" s="24">
        <f>(invulblad!G18*10+invulblad!G17*5)*Richtgetallen!C12/24/3600</f>
        <v>11574.074074074073</v>
      </c>
      <c r="D37" s="24">
        <f>(invulblad!G18*10+invulblad!G17*5)*Richtgetallen!E12/24/3600</f>
        <v>11574.074074074073</v>
      </c>
      <c r="E37" s="46">
        <v>0</v>
      </c>
      <c r="F37" s="46">
        <f>invulblad!$C$9</f>
        <v>1</v>
      </c>
      <c r="G37" s="24"/>
      <c r="H37" s="13">
        <v>1</v>
      </c>
      <c r="I37" s="2">
        <f>C37/(E37+invulblad!$C$9)*EXP(-B37/$D$5*0.4)/1000*H37</f>
        <v>11.520614242900185</v>
      </c>
      <c r="J37" s="2">
        <f>D37/(E37+invulblad!$C$9)*EXP(-B37/$D$5*0.4)/1000*H37</f>
        <v>11.520614242900185</v>
      </c>
    </row>
    <row r="38" spans="1:10">
      <c r="A38" s="10" t="s">
        <v>246</v>
      </c>
      <c r="B38" s="13">
        <f>MAX(B10,invulblad!H21)</f>
        <v>100</v>
      </c>
      <c r="C38" s="24">
        <f>(invulblad!G22*10+invulblad!G21*5)*Richtgetallen!C12/24/3600</f>
        <v>11574.074074074073</v>
      </c>
      <c r="D38" s="24">
        <f>(invulblad!G22*10+invulblad!G21*5)*Richtgetallen!E12/24/3600</f>
        <v>11574.074074074073</v>
      </c>
      <c r="E38" s="46">
        <v>0</v>
      </c>
      <c r="F38" s="46">
        <f>invulblad!$C$9</f>
        <v>1</v>
      </c>
      <c r="G38" s="24"/>
      <c r="H38" s="13">
        <f>invulblad!I21</f>
        <v>1</v>
      </c>
      <c r="I38" s="2">
        <f>C38/(E38+invulblad!$C$9)*EXP(-B38/$D$5*0.4)/1000*H38</f>
        <v>7.2849067566908712</v>
      </c>
      <c r="J38" s="2">
        <f>D38/(E38+invulblad!$C$9)*EXP(-B38/$D$5*0.4)/1000*H38</f>
        <v>7.2849067566908712</v>
      </c>
    </row>
    <row r="39" spans="1:10">
      <c r="A39" s="10" t="s">
        <v>183</v>
      </c>
      <c r="B39">
        <f>MAX(B9,invulblad!H13)</f>
        <v>100</v>
      </c>
      <c r="C39" s="1">
        <f>invulblad!G14/183/24/3600</f>
        <v>0</v>
      </c>
      <c r="D39" s="24">
        <f>invulblad!G15/183/24/3600</f>
        <v>0</v>
      </c>
      <c r="E39" s="46">
        <v>0</v>
      </c>
      <c r="F39" s="46">
        <f>invulblad!$C$9</f>
        <v>1</v>
      </c>
      <c r="G39" s="24"/>
      <c r="H39" s="13">
        <f>invulblad!I13</f>
        <v>1</v>
      </c>
      <c r="I39" s="2">
        <f>C39/(E39+invulblad!$C$9)*EXP(-B39/$D$5*0.4)/1000*H39</f>
        <v>0</v>
      </c>
      <c r="J39" s="2">
        <f>D39/(E39+invulblad!$C$9)*EXP(-B39/$D$5*0.4)/1000*H39</f>
        <v>0</v>
      </c>
    </row>
    <row r="40" spans="1:10">
      <c r="A40" s="10"/>
      <c r="B40" s="13"/>
      <c r="C40" s="13"/>
      <c r="D40" s="24"/>
      <c r="E40" s="24"/>
      <c r="F40" s="24"/>
      <c r="G40" s="24"/>
      <c r="H40" s="13"/>
      <c r="I40" s="1"/>
      <c r="J40" s="1"/>
    </row>
    <row r="41" spans="1:10">
      <c r="A41" s="10"/>
      <c r="B41" s="13"/>
      <c r="C41" s="13"/>
      <c r="D41" s="24"/>
      <c r="E41" s="24"/>
      <c r="F41" s="24"/>
      <c r="G41" s="24"/>
      <c r="H41" s="13"/>
      <c r="I41" s="1"/>
      <c r="J41" s="1"/>
    </row>
    <row r="42" spans="1:10">
      <c r="A42" s="115" t="s">
        <v>215</v>
      </c>
      <c r="B42" s="13"/>
      <c r="C42" s="13" t="s">
        <v>216</v>
      </c>
      <c r="D42" s="24" t="s">
        <v>225</v>
      </c>
      <c r="E42" s="24"/>
      <c r="F42" s="24"/>
      <c r="G42" s="24"/>
      <c r="H42" s="13"/>
      <c r="I42" s="1"/>
      <c r="J42" s="1"/>
    </row>
    <row r="43" spans="1:10">
      <c r="A43" s="10" t="s">
        <v>42</v>
      </c>
      <c r="B43" s="13">
        <f>MAX(B9,invulblad!H25)</f>
        <v>450</v>
      </c>
      <c r="C43" s="24">
        <f>Richtgetallen!C4*invulblad!G25*1000</f>
        <v>21420000000000</v>
      </c>
      <c r="D43" s="1">
        <f>Richtgetallen!E4*invulblad!G25*1000</f>
        <v>3570000000000</v>
      </c>
      <c r="E43" s="24"/>
      <c r="F43" s="24"/>
      <c r="G43" s="24"/>
      <c r="H43" s="13">
        <f>invulblad!I25</f>
        <v>0.5</v>
      </c>
      <c r="I43" s="2">
        <f>C43/$B$11/1000*EXP(-B43/$D$5*0.4)</f>
        <v>26670.999783331139</v>
      </c>
      <c r="J43" s="2">
        <f>D43/$B$11/1000*EXP(-B43/$D$5*0.4)</f>
        <v>4445.1666305551898</v>
      </c>
    </row>
    <row r="44" spans="1:10">
      <c r="A44" s="10" t="s">
        <v>43</v>
      </c>
      <c r="B44" s="13">
        <f>MAX(B9,invulblad!H26)</f>
        <v>39.894228040143268</v>
      </c>
      <c r="C44" s="24">
        <f>Richtgetallen!C5*invulblad!G26*1000</f>
        <v>0</v>
      </c>
      <c r="D44" s="24">
        <f>Richtgetallen!E5*invulblad!G26*1000</f>
        <v>0</v>
      </c>
      <c r="E44" s="24"/>
      <c r="F44" s="24"/>
      <c r="G44" s="24"/>
      <c r="H44" s="13">
        <f>invulblad!I26</f>
        <v>0</v>
      </c>
      <c r="I44" s="2">
        <f>C44/$B$11/1000*EXP(-B44/$D$5*0.4)</f>
        <v>0</v>
      </c>
      <c r="J44" s="2">
        <f>D44/$B$11/1000*EXP(-B44/$D$5*0.4)</f>
        <v>0</v>
      </c>
    </row>
    <row r="45" spans="1:10">
      <c r="A45" s="10" t="s">
        <v>103</v>
      </c>
      <c r="B45" s="13">
        <f>MAX(B9,invulblad!H27)</f>
        <v>39.894228040143268</v>
      </c>
      <c r="C45" s="24">
        <f>invulblad!G27*Richtgetallen!C10*1000</f>
        <v>0</v>
      </c>
      <c r="D45" s="24">
        <f>invulblad!G27*Richtgetallen!E10*1000</f>
        <v>0</v>
      </c>
      <c r="E45" s="24"/>
      <c r="F45" s="24"/>
      <c r="G45" s="24"/>
      <c r="H45" s="13">
        <f>invulblad!I27</f>
        <v>0</v>
      </c>
      <c r="I45" s="2">
        <f>C45/$B$11/1000*EXP(-B45/$D$5*0.4)</f>
        <v>0</v>
      </c>
      <c r="J45" s="2">
        <f>D45/$B$11/1000*EXP(-B45/$D$5*0.4)</f>
        <v>0</v>
      </c>
    </row>
    <row r="46" spans="1:10">
      <c r="A46" s="10" t="s">
        <v>104</v>
      </c>
      <c r="B46" s="13">
        <f>MAX(B9,invulblad!H28)</f>
        <v>39.894228040143268</v>
      </c>
      <c r="C46" s="24">
        <f>invulblad!G28*Richtgetallen!C14*1000</f>
        <v>71400000000</v>
      </c>
      <c r="D46" s="24">
        <f>invulblad!G28*Richtgetallen!E14*1000</f>
        <v>8925000000</v>
      </c>
      <c r="H46">
        <f>invulblad!I28</f>
        <v>0.1</v>
      </c>
      <c r="I46" s="2">
        <f>C46/$B$11/1000*EXP(-B46/$D$5*0.4)</f>
        <v>593.58917894904812</v>
      </c>
      <c r="J46" s="2">
        <f>D46/$B$11/1000*EXP(-B46/$D$5*0.4)</f>
        <v>74.198647368631015</v>
      </c>
    </row>
    <row r="47" spans="1:10">
      <c r="A47" s="10" t="s">
        <v>182</v>
      </c>
      <c r="B47">
        <f>MAX(B9,invulblad!C12/2)</f>
        <v>47.5</v>
      </c>
      <c r="C47">
        <f>invulblad!F30*invulblad!G29*1000</f>
        <v>3750000000</v>
      </c>
      <c r="D47">
        <f>invulblad!F31*invulblad!G29*1000</f>
        <v>1500000000</v>
      </c>
      <c r="H47">
        <f>invulblad!I29</f>
        <v>1</v>
      </c>
      <c r="I47" s="2">
        <f>C47/$B$11/1000*EXP(-B47/$D$5*0.4)</f>
        <v>30.097241576206684</v>
      </c>
      <c r="J47" s="2">
        <f>D47/$B$11/1000*EXP(-B47/$D$5*0.4)</f>
        <v>12.038896630482673</v>
      </c>
    </row>
    <row r="48" spans="1:10">
      <c r="I48" s="1"/>
      <c r="J48" s="1"/>
    </row>
    <row r="50" spans="1:3">
      <c r="C50" s="47"/>
    </row>
    <row r="51" spans="1:3">
      <c r="A51" t="s">
        <v>125</v>
      </c>
    </row>
    <row r="53" spans="1:3">
      <c r="A53" t="s">
        <v>126</v>
      </c>
      <c r="B53" t="s">
        <v>129</v>
      </c>
    </row>
    <row r="54" spans="1:3">
      <c r="A54" t="s">
        <v>127</v>
      </c>
      <c r="B54" t="s">
        <v>131</v>
      </c>
    </row>
    <row r="58" spans="1:3">
      <c r="A58" t="s">
        <v>132</v>
      </c>
      <c r="B58" t="s">
        <v>141</v>
      </c>
    </row>
    <row r="59" spans="1:3">
      <c r="A59" t="s">
        <v>108</v>
      </c>
      <c r="B59">
        <v>3</v>
      </c>
    </row>
    <row r="60" spans="1:3">
      <c r="A60" t="s">
        <v>26</v>
      </c>
      <c r="B60">
        <v>6</v>
      </c>
    </row>
    <row r="61" spans="1:3">
      <c r="B61">
        <v>9</v>
      </c>
    </row>
    <row r="62" spans="1:3">
      <c r="A62" t="s">
        <v>109</v>
      </c>
    </row>
    <row r="63" spans="1:3">
      <c r="A63" t="s">
        <v>111</v>
      </c>
    </row>
    <row r="64" spans="1:3">
      <c r="A64" t="s">
        <v>110</v>
      </c>
    </row>
  </sheetData>
  <sheetProtection password="C630" sheet="1" objects="1" scenario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M41"/>
  <sheetViews>
    <sheetView topLeftCell="A7" zoomScale="90" zoomScaleNormal="100" zoomScaleSheetLayoutView="90" workbookViewId="0">
      <selection activeCell="C24" sqref="C24"/>
    </sheetView>
  </sheetViews>
  <sheetFormatPr defaultRowHeight="13.2"/>
  <cols>
    <col min="1" max="1" width="44.44140625" bestFit="1" customWidth="1"/>
    <col min="2" max="2" width="9.5546875" customWidth="1"/>
    <col min="3" max="3" width="12.88671875" customWidth="1"/>
    <col min="4" max="4" width="1" customWidth="1"/>
    <col min="5" max="5" width="12.109375" customWidth="1"/>
    <col min="6" max="6" width="1.33203125" customWidth="1"/>
    <col min="7" max="7" width="12.33203125" customWidth="1"/>
    <col min="8" max="8" width="1.33203125" style="35" customWidth="1"/>
    <col min="9" max="9" width="10.88671875" customWidth="1"/>
    <col min="10" max="10" width="1.44140625" customWidth="1"/>
    <col min="11" max="11" width="13.44140625" customWidth="1"/>
    <col min="12" max="12" width="2.33203125" customWidth="1"/>
    <col min="13" max="13" width="13.44140625" customWidth="1"/>
  </cols>
  <sheetData>
    <row r="1" spans="1:13" ht="13.8">
      <c r="B1" t="s">
        <v>192</v>
      </c>
      <c r="D1" s="30"/>
    </row>
    <row r="2" spans="1:13" ht="17.399999999999999">
      <c r="A2" s="23"/>
      <c r="B2" s="4"/>
      <c r="C2" s="13" t="s">
        <v>147</v>
      </c>
      <c r="E2" s="29"/>
    </row>
    <row r="3" spans="1:13" ht="17.399999999999999">
      <c r="A3" s="23"/>
      <c r="B3" s="5"/>
      <c r="C3" s="13" t="s">
        <v>148</v>
      </c>
      <c r="E3" s="29"/>
    </row>
    <row r="4" spans="1:13" ht="15.6">
      <c r="B4" s="6"/>
      <c r="C4" s="13" t="s">
        <v>150</v>
      </c>
      <c r="E4" s="29"/>
    </row>
    <row r="5" spans="1:13" ht="17.399999999999999">
      <c r="A5" s="23" t="s">
        <v>99</v>
      </c>
      <c r="B5" s="7"/>
      <c r="C5" s="13" t="s">
        <v>149</v>
      </c>
      <c r="E5" s="29"/>
    </row>
    <row r="6" spans="1:13" ht="17.399999999999999">
      <c r="A6" s="23"/>
      <c r="B6" s="35"/>
      <c r="C6" s="13"/>
      <c r="E6" s="29"/>
    </row>
    <row r="7" spans="1:13" ht="15.6">
      <c r="A7" s="33" t="str">
        <f>CONCATENATE("Naam locatie",":   ",invulblad!C2)</f>
        <v>Naam locatie:   Driehoeksplas</v>
      </c>
      <c r="B7" t="s">
        <v>275</v>
      </c>
      <c r="C7" s="13"/>
      <c r="E7" s="29"/>
    </row>
    <row r="8" spans="1:13" ht="15.6">
      <c r="A8" s="33" t="str">
        <f>CONCATENATE("Datum beoordeling",":   ",DAY(invulblad!C3),"-",MONTH(invulblad!C3),"-",YEAR(invulblad!C3))</f>
        <v>Datum beoordeling:   6-8-2009</v>
      </c>
      <c r="B8" s="4"/>
      <c r="C8" s="13" t="s">
        <v>194</v>
      </c>
      <c r="E8" s="29"/>
    </row>
    <row r="9" spans="1:13" ht="15.6">
      <c r="A9" s="33" t="str">
        <f>IF(invulblad!C5=1,"Plas","Kanaal")</f>
        <v>Plas</v>
      </c>
      <c r="B9" s="5"/>
      <c r="C9" s="13" t="s">
        <v>195</v>
      </c>
      <c r="E9" s="29"/>
    </row>
    <row r="10" spans="1:13" ht="15.6">
      <c r="B10" s="6"/>
      <c r="C10" s="13" t="s">
        <v>196</v>
      </c>
      <c r="E10" s="29"/>
    </row>
    <row r="11" spans="1:13" ht="15.6">
      <c r="B11" s="7"/>
      <c r="C11" s="13" t="s">
        <v>197</v>
      </c>
      <c r="E11" s="29"/>
    </row>
    <row r="12" spans="1:13" ht="17.399999999999999">
      <c r="A12" s="23"/>
    </row>
    <row r="13" spans="1:13">
      <c r="C13" t="s">
        <v>189</v>
      </c>
      <c r="E13" t="s">
        <v>190</v>
      </c>
      <c r="G13" t="s">
        <v>200</v>
      </c>
      <c r="I13" t="s">
        <v>201</v>
      </c>
      <c r="K13" t="s">
        <v>191</v>
      </c>
      <c r="M13" t="s">
        <v>191</v>
      </c>
    </row>
    <row r="14" spans="1:13">
      <c r="A14" s="10" t="s">
        <v>229</v>
      </c>
      <c r="C14" s="9">
        <f>IF(invulblad!$C$5=1,'rekenblad meren'!I18,'rekenblad kanalen'!I18)</f>
        <v>48.850863784428526</v>
      </c>
      <c r="E14" s="9">
        <f>IF(invulblad!$C$5=1,'rekenblad meren'!I19,'rekenblad kanalen'!I19)</f>
        <v>1139.8534883033324</v>
      </c>
      <c r="G14" s="9">
        <f>IF(invulblad!$C$5=1,'rekenblad meren'!J18,'rekenblad kanalen'!J18)</f>
        <v>24.425431892214263</v>
      </c>
      <c r="H14" s="42"/>
      <c r="I14" s="9">
        <f>IF(invulblad!$C$5=1,'rekenblad meren'!J19,'rekenblad kanalen'!J19)</f>
        <v>569.92674415166618</v>
      </c>
      <c r="K14" t="s">
        <v>44</v>
      </c>
      <c r="M14" t="s">
        <v>45</v>
      </c>
    </row>
    <row r="15" spans="1:13">
      <c r="A15" s="10" t="s">
        <v>230</v>
      </c>
      <c r="C15" s="9">
        <f>IF(invulblad!$C$5=1,'rekenblad meren'!I22,'rekenblad kanalen'!I22)</f>
        <v>2035.4526576845219</v>
      </c>
      <c r="E15" s="9">
        <f>IF(invulblad!$C$5=1,'rekenblad meren'!I23,'rekenblad kanalen'!I23)</f>
        <v>2035.4526576845219</v>
      </c>
      <c r="G15" s="9">
        <f>IF(invulblad!$C$5=1,'rekenblad meren'!J22,'rekenblad kanalen'!J22)</f>
        <v>1017.726328842261</v>
      </c>
      <c r="H15" s="42"/>
      <c r="I15" s="9">
        <f>IF(invulblad!$C$5=1,'rekenblad meren'!J23,'rekenblad kanalen'!J23)</f>
        <v>1017.726328842261</v>
      </c>
    </row>
    <row r="16" spans="1:13">
      <c r="G16" s="39"/>
      <c r="H16" s="43"/>
      <c r="I16" s="39"/>
      <c r="K16" s="9">
        <f>SUM(C14:C33)-C15-C29-C31</f>
        <v>1883.318381543404</v>
      </c>
      <c r="M16" s="9">
        <f>SUM(E14:E17)+SUM(C18:C33)-E15-C29-C31</f>
        <v>2974.3210060623082</v>
      </c>
    </row>
    <row r="17" spans="1:13">
      <c r="A17" s="10" t="s">
        <v>2</v>
      </c>
      <c r="C17" s="9">
        <f>IF(invulblad!$C$5=1,'rekenblad meren'!I26,'rekenblad kanalen'!I26)</f>
        <v>0</v>
      </c>
      <c r="E17" s="9">
        <f>IF(invulblad!$C$5=1,'rekenblad meren'!I27,'rekenblad kanalen'!I27)</f>
        <v>0</v>
      </c>
      <c r="G17" s="9">
        <f>IF(invulblad!$C$5=1,'rekenblad meren'!J26,'rekenblad kanalen'!J26)</f>
        <v>0</v>
      </c>
      <c r="H17" s="42"/>
      <c r="I17" s="9">
        <f>IF(invulblad!$C$5=1,'rekenblad meren'!J27,'rekenblad kanalen'!J27)</f>
        <v>0</v>
      </c>
    </row>
    <row r="18" spans="1:13">
      <c r="A18" s="10" t="s">
        <v>5</v>
      </c>
      <c r="C18" s="9">
        <f>IF(invulblad!$C$5=1,'rekenblad meren'!I30,'rekenblad kanalen'!I30)</f>
        <v>45.81115948235059</v>
      </c>
      <c r="E18" s="40"/>
      <c r="G18" s="9">
        <f>IF(invulblad!$C$5=1,'rekenblad meren'!J30,'rekenblad kanalen'!J30)</f>
        <v>22.905579741175295</v>
      </c>
      <c r="H18" s="42"/>
      <c r="I18" s="44"/>
      <c r="K18" t="s">
        <v>276</v>
      </c>
      <c r="M18" t="s">
        <v>277</v>
      </c>
    </row>
    <row r="19" spans="1:13">
      <c r="A19" s="10" t="s">
        <v>49</v>
      </c>
      <c r="C19" s="9">
        <f>IF(invulblad!$C$5=1,'rekenblad meren'!I31,'rekenblad kanalen'!I31)</f>
        <v>1.8755694150051867E-2</v>
      </c>
      <c r="E19" s="40"/>
      <c r="G19" s="9">
        <f>IF(invulblad!$C$5=1,'rekenblad meren'!J31,'rekenblad kanalen'!J31)</f>
        <v>9.6183046923342902E-4</v>
      </c>
      <c r="H19" s="42"/>
      <c r="I19" s="44"/>
      <c r="K19" t="s">
        <v>44</v>
      </c>
      <c r="M19" t="s">
        <v>45</v>
      </c>
    </row>
    <row r="20" spans="1:13">
      <c r="A20" s="10" t="s">
        <v>63</v>
      </c>
      <c r="E20" s="40"/>
      <c r="G20" s="39"/>
      <c r="H20" s="43"/>
      <c r="I20" s="44"/>
      <c r="K20" s="9">
        <f>SUM(G14:G33)-G15-G31-G29</f>
        <v>1268.4193317479594</v>
      </c>
      <c r="M20" s="9">
        <f>SUM(I14:I17) + SUM(G18:G33)-I15-G29-G31</f>
        <v>1813.9206440074108</v>
      </c>
    </row>
    <row r="21" spans="1:13">
      <c r="A21" t="s">
        <v>101</v>
      </c>
      <c r="C21" s="9">
        <f>IF(invulblad!$C$5=1,'rekenblad meren'!I43,'rekenblad kanalen'!I43)</f>
        <v>666.27152308190625</v>
      </c>
      <c r="E21" s="40"/>
      <c r="G21" s="9">
        <f>IF(invulblad!$C$5=1,'rekenblad meren'!J43,'rekenblad kanalen'!J43)</f>
        <v>111.04525384698438</v>
      </c>
      <c r="H21" s="42"/>
      <c r="I21" s="44"/>
    </row>
    <row r="22" spans="1:13">
      <c r="A22" t="s">
        <v>102</v>
      </c>
      <c r="C22" s="9">
        <f>IF(invulblad!$C$5=1,'rekenblad meren'!I44,'rekenblad kanalen'!I44)</f>
        <v>0</v>
      </c>
      <c r="E22" s="40"/>
      <c r="G22" s="9">
        <f>IF(invulblad!$C$5=1,'rekenblad meren'!J44,'rekenblad kanalen'!J44)</f>
        <v>0</v>
      </c>
      <c r="H22" s="42"/>
      <c r="I22" s="44"/>
    </row>
    <row r="23" spans="1:13">
      <c r="A23" s="10" t="s">
        <v>62</v>
      </c>
      <c r="C23" s="9">
        <f>IF(invulblad!$C$5=1,'rekenblad meren'!I34,'rekenblad kanalen'!I34)</f>
        <v>0</v>
      </c>
      <c r="E23" s="40"/>
      <c r="G23" s="9">
        <f>IF(invulblad!$C$5=1,'rekenblad meren'!J34,'rekenblad kanalen'!J34)</f>
        <v>0</v>
      </c>
      <c r="H23" s="42"/>
      <c r="I23" s="44"/>
    </row>
    <row r="24" spans="1:13">
      <c r="A24" s="10" t="s">
        <v>47</v>
      </c>
      <c r="C24" s="9">
        <f>IF(invulblad!$C$5=1,'rekenblad meren'!I45,'rekenblad kanalen'!I45)</f>
        <v>0</v>
      </c>
      <c r="E24" s="40"/>
      <c r="G24" s="9">
        <f>IF(invulblad!$C$5=1,'rekenblad meren'!J45,'rekenblad kanalen'!J45)</f>
        <v>0</v>
      </c>
      <c r="H24" s="42"/>
      <c r="I24" s="44"/>
    </row>
    <row r="25" spans="1:13">
      <c r="A25" s="10" t="s">
        <v>48</v>
      </c>
      <c r="B25" s="13"/>
      <c r="C25" s="9">
        <f>IF(invulblad!$C$5=1,'rekenblad meren'!I46,'rekenblad kanalen'!I46)</f>
        <v>10.364615007193992</v>
      </c>
      <c r="E25" s="40"/>
      <c r="G25" s="9">
        <f>IF(invulblad!$C$5=1,'rekenblad meren'!J46,'rekenblad kanalen'!J46)</f>
        <v>1.295576875899249</v>
      </c>
      <c r="H25" s="42"/>
      <c r="I25" s="44"/>
    </row>
    <row r="26" spans="1:13">
      <c r="A26" s="10" t="s">
        <v>50</v>
      </c>
      <c r="C26" s="9">
        <f>IF(invulblad!$C$5=1,'rekenblad meren'!I32,'rekenblad kanalen'!I32)</f>
        <v>0</v>
      </c>
      <c r="E26" s="40"/>
      <c r="G26" s="9">
        <f>IF(invulblad!$C$5=1,'rekenblad meren'!J32,'rekenblad kanalen'!J32)</f>
        <v>0</v>
      </c>
      <c r="H26" s="42"/>
      <c r="I26" s="44"/>
    </row>
    <row r="27" spans="1:13">
      <c r="A27" s="10" t="s">
        <v>51</v>
      </c>
      <c r="C27" s="9">
        <f>IF(invulblad!$C$5=1,'rekenblad meren'!I33,'rekenblad kanalen'!I33)</f>
        <v>0</v>
      </c>
      <c r="E27" s="40"/>
      <c r="G27" s="9">
        <f>IF(invulblad!$C$5=1,'rekenblad meren'!J33,'rekenblad kanalen'!J33)</f>
        <v>0</v>
      </c>
      <c r="H27" s="42"/>
      <c r="I27" s="44"/>
    </row>
    <row r="28" spans="1:13">
      <c r="A28" s="10" t="s">
        <v>232</v>
      </c>
      <c r="B28" s="10"/>
      <c r="C28" s="9">
        <f>IF(invulblad!$C$5=1,'rekenblad meren'!I35,'rekenblad kanalen'!I35)</f>
        <v>144.3360742964928</v>
      </c>
      <c r="E28" s="40"/>
      <c r="G28" s="9">
        <f>IF(invulblad!$C$5=1,'rekenblad meren'!J35,'rekenblad kanalen'!J35)</f>
        <v>144.3360742964928</v>
      </c>
      <c r="H28" s="42"/>
      <c r="I28" s="44"/>
    </row>
    <row r="29" spans="1:13">
      <c r="A29" s="10" t="s">
        <v>231</v>
      </c>
      <c r="B29" s="10"/>
      <c r="C29" s="9">
        <f>IF(invulblad!$C$5=1,'rekenblad meren'!I36,'rekenblad kanalen'!I36)</f>
        <v>3.9766631495095996</v>
      </c>
      <c r="E29" s="40"/>
      <c r="G29" s="9">
        <f>IF(invulblad!$C$5=1,'rekenblad meren'!J36,'rekenblad kanalen'!J36)</f>
        <v>4.5731626219360404</v>
      </c>
      <c r="H29" s="42"/>
      <c r="I29" s="44"/>
    </row>
    <row r="30" spans="1:13">
      <c r="A30" s="10" t="s">
        <v>234</v>
      </c>
      <c r="B30" s="10"/>
      <c r="C30" s="9">
        <f>IF(invulblad!$C$5=1,'rekenblad meren'!I37,'rekenblad kanalen'!I37)</f>
        <v>962.24049530995194</v>
      </c>
      <c r="E30" s="40"/>
      <c r="G30" s="9">
        <f>IF(invulblad!$C$5=1,'rekenblad meren'!J37,'rekenblad kanalen'!J37)</f>
        <v>962.24049530995194</v>
      </c>
      <c r="H30" s="42"/>
      <c r="I30" s="44"/>
    </row>
    <row r="31" spans="1:13">
      <c r="A31" s="10" t="s">
        <v>233</v>
      </c>
      <c r="B31" s="10"/>
      <c r="C31" s="9">
        <f>IF(invulblad!$C$5=1,'rekenblad meren'!I38,'rekenblad kanalen'!I38)</f>
        <v>8.8007487934858748</v>
      </c>
      <c r="E31" s="40"/>
      <c r="G31" s="9">
        <f>IF(invulblad!$C$5=1,'rekenblad meren'!J38,'rekenblad kanalen'!J38)</f>
        <v>10.120861112508758</v>
      </c>
      <c r="H31" s="42"/>
      <c r="I31" s="44"/>
      <c r="K31" s="2"/>
    </row>
    <row r="32" spans="1:13">
      <c r="A32" s="10" t="s">
        <v>181</v>
      </c>
      <c r="B32" s="13"/>
      <c r="C32" s="9">
        <f>IF(invulblad!$C$5=1,'rekenblad meren'!I47,'rekenblad kanalen'!I47)</f>
        <v>5.4248948869300531</v>
      </c>
      <c r="E32" s="40"/>
      <c r="G32" s="9">
        <f>IF(invulblad!$C$5=1,'rekenblad meren'!J47,'rekenblad kanalen'!J47)</f>
        <v>2.1699579547720211</v>
      </c>
      <c r="H32" s="42"/>
      <c r="I32" s="44"/>
    </row>
    <row r="33" spans="1:9">
      <c r="A33" s="10" t="s">
        <v>183</v>
      </c>
      <c r="C33" s="9">
        <f>IF(invulblad!$C$5=1,'rekenblad meren'!I39,'rekenblad kanalen'!I39)</f>
        <v>0</v>
      </c>
      <c r="E33" s="40"/>
      <c r="G33" s="9">
        <f>IF(invulblad!$C$5=1,'rekenblad meren'!J39,'rekenblad kanalen'!J39)</f>
        <v>0</v>
      </c>
      <c r="H33" s="42"/>
      <c r="I33" s="44"/>
    </row>
    <row r="36" spans="1:9">
      <c r="B36" s="10"/>
    </row>
    <row r="37" spans="1:9">
      <c r="A37" s="8"/>
      <c r="B37" s="8"/>
      <c r="C37" s="8">
        <f>invulblad!C5</f>
        <v>1</v>
      </c>
    </row>
    <row r="38" spans="1:9">
      <c r="A38" s="8">
        <v>2000</v>
      </c>
      <c r="B38" s="8">
        <v>1000</v>
      </c>
      <c r="C38" s="8"/>
    </row>
    <row r="39" spans="1:9">
      <c r="A39" s="8">
        <v>5000</v>
      </c>
      <c r="B39" s="8">
        <v>2000</v>
      </c>
      <c r="C39" s="8"/>
    </row>
    <row r="40" spans="1:9">
      <c r="A40" s="8">
        <v>9000</v>
      </c>
      <c r="B40" s="8">
        <v>3300</v>
      </c>
      <c r="C40" s="8"/>
    </row>
    <row r="41" spans="1:9">
      <c r="B41" s="10"/>
    </row>
  </sheetData>
  <sheetProtection password="C630" sheet="1" objects="1" scenarios="1"/>
  <phoneticPr fontId="2" type="noConversion"/>
  <conditionalFormatting sqref="G17:H17 C17:C19 C14:C15 E17 K16 M16 C21:C33 E14:E15">
    <cfRule type="cellIs" dxfId="11" priority="1" stopIfTrue="1" operator="between">
      <formula>$A$38</formula>
      <formula>$A$39</formula>
    </cfRule>
    <cfRule type="cellIs" dxfId="10" priority="2" stopIfTrue="1" operator="between">
      <formula>$A$39</formula>
      <formula>$A$40</formula>
    </cfRule>
    <cfRule type="cellIs" dxfId="9" priority="3" stopIfTrue="1" operator="greaterThan">
      <formula>$A$40</formula>
    </cfRule>
  </conditionalFormatting>
  <conditionalFormatting sqref="I17 M20 G18:H19 G21:H33 K20 G14:I15">
    <cfRule type="cellIs" dxfId="8" priority="4" stopIfTrue="1" operator="between">
      <formula>$B$38</formula>
      <formula>$B$39</formula>
    </cfRule>
    <cfRule type="cellIs" dxfId="7" priority="5" stopIfTrue="1" operator="between">
      <formula>$B$39</formula>
      <formula>$B$40</formula>
    </cfRule>
    <cfRule type="cellIs" dxfId="6" priority="6" stopIfTrue="1" operator="greaterThan">
      <formula>$B$40</formula>
    </cfRule>
  </conditionalFormatting>
  <pageMargins left="0.75" right="0.75" top="1" bottom="1" header="0.5" footer="0.5"/>
  <pageSetup paperSize="9" scale="79" orientation="landscape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L45"/>
  <sheetViews>
    <sheetView zoomScale="90" workbookViewId="0">
      <selection activeCell="B31" sqref="B31"/>
    </sheetView>
  </sheetViews>
  <sheetFormatPr defaultRowHeight="13.2"/>
  <cols>
    <col min="1" max="1" width="34.6640625" customWidth="1"/>
    <col min="2" max="2" width="55.109375" customWidth="1"/>
    <col min="3" max="3" width="1.5546875" customWidth="1"/>
    <col min="4" max="4" width="11.109375" customWidth="1"/>
    <col min="5" max="5" width="2.44140625" customWidth="1"/>
    <col min="6" max="6" width="10.5546875" customWidth="1"/>
    <col min="7" max="7" width="4.6640625" customWidth="1"/>
    <col min="8" max="8" width="11.44140625" customWidth="1"/>
    <col min="9" max="9" width="1.33203125" customWidth="1"/>
    <col min="10" max="10" width="11.33203125" customWidth="1"/>
  </cols>
  <sheetData>
    <row r="1" spans="1:10" ht="17.399999999999999">
      <c r="A1" s="23" t="s">
        <v>100</v>
      </c>
      <c r="D1" s="11" t="s">
        <v>198</v>
      </c>
      <c r="H1" s="11" t="s">
        <v>202</v>
      </c>
    </row>
    <row r="2" spans="1:10">
      <c r="D2" s="10"/>
    </row>
    <row r="3" spans="1:10">
      <c r="B3" s="10" t="s">
        <v>135</v>
      </c>
      <c r="D3" t="s">
        <v>142</v>
      </c>
      <c r="F3" t="s">
        <v>143</v>
      </c>
      <c r="H3" t="s">
        <v>142</v>
      </c>
      <c r="I3" s="35"/>
      <c r="J3" t="s">
        <v>143</v>
      </c>
    </row>
    <row r="4" spans="1:10">
      <c r="A4" s="116" t="s">
        <v>229</v>
      </c>
      <c r="B4" s="117" t="s">
        <v>136</v>
      </c>
      <c r="D4" s="9">
        <f>Uitslag!C14</f>
        <v>48.850863784428526</v>
      </c>
      <c r="F4" s="9">
        <f>Uitslag!E14*2</f>
        <v>2279.7069766066647</v>
      </c>
      <c r="H4" s="9">
        <f>Uitslag!G14</f>
        <v>24.425431892214263</v>
      </c>
      <c r="I4" s="42">
        <f>Uitslag!H14</f>
        <v>0</v>
      </c>
      <c r="J4" s="9">
        <f>Uitslag!I14</f>
        <v>569.92674415166618</v>
      </c>
    </row>
    <row r="5" spans="1:10">
      <c r="A5" s="116" t="s">
        <v>230</v>
      </c>
      <c r="B5" s="117" t="s">
        <v>136</v>
      </c>
      <c r="D5" s="9">
        <f>Uitslag!C15</f>
        <v>2035.4526576845219</v>
      </c>
      <c r="F5" s="9">
        <f>Uitslag!E15*2</f>
        <v>4070.9053153690438</v>
      </c>
      <c r="H5" s="9">
        <f>Uitslag!G15</f>
        <v>1017.726328842261</v>
      </c>
      <c r="I5" s="42"/>
      <c r="J5" s="9">
        <f>Uitslag!I15</f>
        <v>1017.726328842261</v>
      </c>
    </row>
    <row r="6" spans="1:10">
      <c r="A6" s="118"/>
      <c r="B6" s="117"/>
      <c r="H6" s="40"/>
      <c r="I6" s="35"/>
    </row>
    <row r="7" spans="1:10">
      <c r="A7" s="119" t="s">
        <v>2</v>
      </c>
      <c r="B7" s="117" t="s">
        <v>140</v>
      </c>
      <c r="D7" s="9">
        <f>Uitslag!C17</f>
        <v>0</v>
      </c>
      <c r="F7" s="9">
        <f>Uitslag!E17*4</f>
        <v>0</v>
      </c>
      <c r="H7" s="9">
        <f>Uitslag!G17</f>
        <v>0</v>
      </c>
      <c r="I7" s="42">
        <f>Uitslag!H17</f>
        <v>0</v>
      </c>
      <c r="J7" s="9">
        <f>Uitslag!I17*4</f>
        <v>0</v>
      </c>
    </row>
    <row r="8" spans="1:10">
      <c r="A8" s="119" t="s">
        <v>5</v>
      </c>
      <c r="B8" s="117" t="s">
        <v>136</v>
      </c>
      <c r="D8" s="9">
        <f>Uitslag!C18/10</f>
        <v>4.581115948235059</v>
      </c>
      <c r="F8" s="9">
        <f>Uitslag!C18*(1/invulblad!I10)*10</f>
        <v>458111.59482350585</v>
      </c>
      <c r="H8" s="9">
        <f>Uitslag!G18/10</f>
        <v>2.2905579741175295</v>
      </c>
      <c r="J8" s="9">
        <f>Uitslag!G18*(1/invulblad!I10)*10</f>
        <v>229055.79741175292</v>
      </c>
    </row>
    <row r="9" spans="1:10">
      <c r="A9" s="119" t="s">
        <v>49</v>
      </c>
      <c r="B9" s="117" t="s">
        <v>138</v>
      </c>
      <c r="D9" s="9">
        <f>Uitslag!C19/10</f>
        <v>1.8755694150051866E-3</v>
      </c>
      <c r="F9" s="9">
        <f>Uitslag!C19/invulblad!I33*2</f>
        <v>3.7511388300103733E-2</v>
      </c>
      <c r="H9" s="9">
        <f>Uitslag!G19/10</f>
        <v>9.6183046923342907E-5</v>
      </c>
      <c r="J9" s="9">
        <f>Uitslag!G19/invulblad!I33*2</f>
        <v>1.923660938466858E-3</v>
      </c>
    </row>
    <row r="10" spans="1:10">
      <c r="A10" s="119" t="s">
        <v>212</v>
      </c>
      <c r="B10" s="117"/>
      <c r="H10" s="40"/>
      <c r="J10" s="42"/>
    </row>
    <row r="11" spans="1:10" ht="23.4">
      <c r="A11" s="118" t="s">
        <v>101</v>
      </c>
      <c r="B11" s="117" t="s">
        <v>139</v>
      </c>
      <c r="D11" s="9">
        <f>Uitslag!C21/10</f>
        <v>66.627152308190631</v>
      </c>
      <c r="F11" s="9">
        <f>Uitslag!C21/invulblad!I25*2</f>
        <v>2665.086092327625</v>
      </c>
      <c r="H11" s="9">
        <f>Uitslag!G21/10</f>
        <v>11.104525384698437</v>
      </c>
      <c r="J11" s="9">
        <f>Uitslag!G21/invulblad!I25*2</f>
        <v>444.18101538793752</v>
      </c>
    </row>
    <row r="12" spans="1:10" ht="23.4">
      <c r="A12" s="118" t="s">
        <v>102</v>
      </c>
      <c r="B12" s="117" t="s">
        <v>139</v>
      </c>
      <c r="D12" s="9">
        <f>Uitslag!C22/10</f>
        <v>0</v>
      </c>
      <c r="F12" s="9" t="e">
        <f>Uitslag!C22/invulblad!I26*2</f>
        <v>#DIV/0!</v>
      </c>
      <c r="H12" s="9">
        <f>Uitslag!G22/10</f>
        <v>0</v>
      </c>
      <c r="J12" s="9" t="e">
        <f>Uitslag!G22/invulblad!I26*2</f>
        <v>#DIV/0!</v>
      </c>
    </row>
    <row r="13" spans="1:10" ht="24">
      <c r="A13" s="121" t="s">
        <v>62</v>
      </c>
      <c r="B13" s="117" t="s">
        <v>136</v>
      </c>
      <c r="D13" s="9">
        <f>Uitslag!C23/100</f>
        <v>0</v>
      </c>
      <c r="F13" s="9" t="e">
        <f>Uitslag!C23/invulblad!I26*2</f>
        <v>#DIV/0!</v>
      </c>
      <c r="H13" s="9">
        <f>Uitslag!G23/100</f>
        <v>0</v>
      </c>
      <c r="J13" s="9" t="e">
        <f>Uitslag!G23/invulblad!I26*2</f>
        <v>#DIV/0!</v>
      </c>
    </row>
    <row r="14" spans="1:10" ht="23.4">
      <c r="A14" s="119" t="s">
        <v>144</v>
      </c>
      <c r="B14" s="117" t="s">
        <v>139</v>
      </c>
      <c r="D14" s="9">
        <f>Uitslag!C24/100</f>
        <v>0</v>
      </c>
      <c r="F14" s="9" t="e">
        <f>Uitslag!C24/invulblad!I27</f>
        <v>#DIV/0!</v>
      </c>
      <c r="H14" s="9">
        <f>Uitslag!G24/100</f>
        <v>0</v>
      </c>
      <c r="J14" s="9" t="e">
        <f>Uitslag!G24/invulblad!I27</f>
        <v>#DIV/0!</v>
      </c>
    </row>
    <row r="15" spans="1:10" ht="23.4">
      <c r="A15" s="119" t="s">
        <v>48</v>
      </c>
      <c r="B15" s="117" t="s">
        <v>139</v>
      </c>
      <c r="D15" s="9">
        <f>Uitslag!C25/100</f>
        <v>0.10364615007193992</v>
      </c>
      <c r="F15" s="9">
        <f>Uitslag!C25/invulblad!I28</f>
        <v>103.64615007193991</v>
      </c>
      <c r="H15" s="9">
        <f>Uitslag!G25/100</f>
        <v>1.295576875899249E-2</v>
      </c>
      <c r="J15" s="9">
        <f>Uitslag!G25/invulblad!I28</f>
        <v>12.955768758992489</v>
      </c>
    </row>
    <row r="16" spans="1:10">
      <c r="A16" s="119" t="s">
        <v>50</v>
      </c>
      <c r="B16" s="117" t="s">
        <v>140</v>
      </c>
      <c r="D16" s="9">
        <f>Uitslag!C26/10</f>
        <v>0</v>
      </c>
      <c r="F16" s="9">
        <f>Uitslag!C26*10</f>
        <v>0</v>
      </c>
      <c r="H16" s="9">
        <f>Uitslag!G26/10</f>
        <v>0</v>
      </c>
      <c r="J16" s="9">
        <f>Uitslag!G26*10</f>
        <v>0</v>
      </c>
    </row>
    <row r="17" spans="1:12" ht="23.4">
      <c r="A17" s="119" t="s">
        <v>51</v>
      </c>
      <c r="B17" s="117" t="s">
        <v>137</v>
      </c>
      <c r="D17" s="9">
        <f>Uitslag!C27/10</f>
        <v>0</v>
      </c>
      <c r="F17" s="9">
        <f>Uitslag!C27*100</f>
        <v>0</v>
      </c>
      <c r="H17" s="9">
        <f>Uitslag!G27/10</f>
        <v>0</v>
      </c>
      <c r="J17" s="9">
        <f>Uitslag!G27*100</f>
        <v>0</v>
      </c>
    </row>
    <row r="18" spans="1:12" ht="23.4">
      <c r="A18" s="10" t="s">
        <v>232</v>
      </c>
      <c r="B18" s="117" t="s">
        <v>152</v>
      </c>
      <c r="D18" s="9">
        <f>Uitslag!C28/100</f>
        <v>1.443360742964928</v>
      </c>
      <c r="F18" s="9">
        <f>Uitslag!C28*100</f>
        <v>14433.607429649279</v>
      </c>
      <c r="H18" s="9">
        <f>Uitslag!G28/100</f>
        <v>1.443360742964928</v>
      </c>
      <c r="J18" s="9">
        <f>Uitslag!G28*100</f>
        <v>14433.607429649279</v>
      </c>
    </row>
    <row r="19" spans="1:12" ht="23.4">
      <c r="A19" s="10" t="s">
        <v>231</v>
      </c>
      <c r="B19" s="117" t="s">
        <v>152</v>
      </c>
      <c r="D19" s="9">
        <f>Uitslag!C29/100</f>
        <v>3.9766631495095996E-2</v>
      </c>
      <c r="F19" s="9">
        <f>Uitslag!C29*100</f>
        <v>397.66631495095999</v>
      </c>
      <c r="H19" s="9">
        <f>Uitslag!G29/100</f>
        <v>4.5731626219360402E-2</v>
      </c>
      <c r="J19" s="9">
        <f>Uitslag!G29*100</f>
        <v>457.31626219360402</v>
      </c>
    </row>
    <row r="20" spans="1:12" ht="26.4">
      <c r="A20" s="122" t="s">
        <v>233</v>
      </c>
      <c r="B20" s="117" t="s">
        <v>152</v>
      </c>
      <c r="D20" s="9">
        <f>Uitslag!C30/100</f>
        <v>9.6224049530995188</v>
      </c>
      <c r="F20" s="9">
        <f>Uitslag!C30*100</f>
        <v>96224.049530995195</v>
      </c>
      <c r="H20" s="9">
        <f>Uitslag!G30/100</f>
        <v>9.6224049530995188</v>
      </c>
      <c r="J20" s="9">
        <f>Uitslag!G30*100</f>
        <v>96224.049530995195</v>
      </c>
    </row>
    <row r="21" spans="1:12" ht="26.4">
      <c r="A21" s="122" t="s">
        <v>234</v>
      </c>
      <c r="B21" s="117" t="s">
        <v>152</v>
      </c>
      <c r="D21" s="9">
        <f>Uitslag!C31/100</f>
        <v>8.8007487934858741E-2</v>
      </c>
      <c r="F21" s="9">
        <f>Uitslag!C31*100</f>
        <v>880.0748793485875</v>
      </c>
      <c r="H21" s="9">
        <f>Uitslag!G31/100</f>
        <v>0.10120861112508757</v>
      </c>
      <c r="J21" s="9">
        <f>Uitslag!G31*100</f>
        <v>1012.0861112508758</v>
      </c>
      <c r="L21" s="40">
        <f>J21</f>
        <v>1012.0861112508758</v>
      </c>
    </row>
    <row r="22" spans="1:12" ht="23.4">
      <c r="A22" s="119" t="s">
        <v>182</v>
      </c>
      <c r="B22" s="117" t="s">
        <v>139</v>
      </c>
      <c r="D22" s="9">
        <f>Uitslag!C32/10</f>
        <v>0.54248948869300528</v>
      </c>
      <c r="F22" s="9">
        <f>Uitslag!C32/invulblad!I29*2</f>
        <v>10.849789773860106</v>
      </c>
      <c r="H22" s="9">
        <f>Uitslag!G32/10</f>
        <v>0.2169957954772021</v>
      </c>
      <c r="J22" s="9">
        <f>Uitslag!G32/invulblad!I29*2</f>
        <v>4.3399159095440423</v>
      </c>
    </row>
    <row r="23" spans="1:12" ht="23.4">
      <c r="A23" s="120" t="s">
        <v>183</v>
      </c>
      <c r="B23" s="117" t="s">
        <v>139</v>
      </c>
      <c r="D23" s="9">
        <f>Uitslag!C33/10</f>
        <v>0</v>
      </c>
      <c r="F23" s="9">
        <f>Uitslag!C33/invulblad!I13*2</f>
        <v>0</v>
      </c>
      <c r="H23" s="9">
        <f>Uitslag!G33/10</f>
        <v>0</v>
      </c>
      <c r="J23" s="9">
        <f>Uitslag!G33/invulblad!I13*2</f>
        <v>0</v>
      </c>
    </row>
    <row r="24" spans="1:12">
      <c r="A24" s="8">
        <f>Uitslag!A38</f>
        <v>2000</v>
      </c>
      <c r="B24" s="8">
        <v>1</v>
      </c>
    </row>
    <row r="25" spans="1:12">
      <c r="A25" s="8">
        <f>Uitslag!A39</f>
        <v>5000</v>
      </c>
      <c r="B25" s="8">
        <v>2</v>
      </c>
    </row>
    <row r="26" spans="1:12">
      <c r="A26" s="8">
        <f>Uitslag!A40</f>
        <v>9000</v>
      </c>
      <c r="B26" s="8">
        <v>3.3</v>
      </c>
      <c r="C26" s="41"/>
      <c r="D26" s="41"/>
      <c r="E26" s="41"/>
      <c r="F26" s="41"/>
    </row>
    <row r="27" spans="1:12">
      <c r="A27" s="10"/>
      <c r="B27" s="41"/>
      <c r="C27" s="41"/>
      <c r="D27" s="41"/>
      <c r="E27" s="41"/>
      <c r="F27" s="41"/>
    </row>
    <row r="28" spans="1:12">
      <c r="B28" s="41"/>
      <c r="C28" s="41"/>
      <c r="D28" s="41"/>
      <c r="E28" s="41"/>
      <c r="F28" s="41"/>
    </row>
    <row r="29" spans="1:12">
      <c r="A29" s="10"/>
      <c r="B29" s="41"/>
      <c r="C29" s="41"/>
      <c r="D29" s="41"/>
      <c r="E29" s="41"/>
      <c r="F29" s="41"/>
    </row>
    <row r="30" spans="1:12">
      <c r="B30" s="41"/>
      <c r="C30" s="41"/>
      <c r="D30" s="41"/>
      <c r="E30" s="41"/>
      <c r="F30" s="41"/>
    </row>
    <row r="31" spans="1:12">
      <c r="A31" s="10"/>
      <c r="B31" s="41"/>
      <c r="C31" s="41"/>
      <c r="D31" s="41"/>
      <c r="E31" s="41"/>
      <c r="F31" s="41"/>
    </row>
    <row r="32" spans="1:12">
      <c r="B32" s="41"/>
      <c r="C32" s="41"/>
      <c r="D32" s="41"/>
      <c r="E32" s="41"/>
      <c r="F32" s="41"/>
    </row>
    <row r="33" spans="2:6">
      <c r="B33" s="41"/>
      <c r="C33" s="41"/>
      <c r="D33" s="41"/>
      <c r="E33" s="41"/>
      <c r="F33" s="41"/>
    </row>
    <row r="34" spans="2:6">
      <c r="B34" s="41"/>
      <c r="C34" s="41"/>
      <c r="D34" s="41"/>
      <c r="E34" s="41"/>
      <c r="F34" s="41"/>
    </row>
    <row r="35" spans="2:6">
      <c r="B35" s="41"/>
      <c r="C35" s="41"/>
      <c r="D35" s="41"/>
      <c r="E35" s="41"/>
      <c r="F35" s="41"/>
    </row>
    <row r="36" spans="2:6">
      <c r="B36" s="41"/>
      <c r="C36" s="41"/>
      <c r="D36" s="41"/>
      <c r="E36" s="41"/>
      <c r="F36" s="41"/>
    </row>
    <row r="37" spans="2:6">
      <c r="B37" s="41"/>
      <c r="C37" s="41"/>
      <c r="D37" s="41"/>
      <c r="E37" s="41"/>
      <c r="F37" s="41"/>
    </row>
    <row r="38" spans="2:6">
      <c r="B38" s="41"/>
      <c r="C38" s="41"/>
      <c r="D38" s="41"/>
      <c r="E38" s="41"/>
      <c r="F38" s="41"/>
    </row>
    <row r="39" spans="2:6">
      <c r="B39" s="41"/>
      <c r="C39" s="41"/>
      <c r="D39" s="41"/>
      <c r="E39" s="41"/>
      <c r="F39" s="41"/>
    </row>
    <row r="40" spans="2:6">
      <c r="B40" s="41"/>
      <c r="C40" s="41"/>
      <c r="D40" s="41"/>
      <c r="E40" s="41"/>
      <c r="F40" s="41"/>
    </row>
    <row r="41" spans="2:6">
      <c r="B41" s="41"/>
      <c r="C41" s="41"/>
      <c r="D41" s="41"/>
      <c r="E41" s="41"/>
      <c r="F41" s="41"/>
    </row>
    <row r="42" spans="2:6">
      <c r="B42" s="41"/>
      <c r="C42" s="41"/>
      <c r="D42" s="41"/>
      <c r="E42" s="41"/>
      <c r="F42" s="41"/>
    </row>
    <row r="43" spans="2:6">
      <c r="B43" s="41"/>
      <c r="C43" s="41"/>
      <c r="D43" s="41"/>
      <c r="E43" s="41"/>
      <c r="F43" s="41"/>
    </row>
    <row r="44" spans="2:6">
      <c r="B44" s="41"/>
      <c r="C44" s="41"/>
      <c r="D44" s="41"/>
      <c r="E44" s="41"/>
      <c r="F44" s="41"/>
    </row>
    <row r="45" spans="2:6">
      <c r="B45" s="41"/>
      <c r="C45" s="41"/>
      <c r="D45" s="41"/>
      <c r="E45" s="41"/>
      <c r="F45" s="41"/>
    </row>
  </sheetData>
  <phoneticPr fontId="2" type="noConversion"/>
  <conditionalFormatting sqref="D7:D9 D11:D23 D4:D5 F7:F9 F4:F5 F11:F23">
    <cfRule type="cellIs" dxfId="5" priority="1" stopIfTrue="1" operator="between">
      <formula>$A$24</formula>
      <formula>$A$25</formula>
    </cfRule>
    <cfRule type="cellIs" dxfId="4" priority="2" stopIfTrue="1" operator="between">
      <formula>$A$25</formula>
      <formula>$A$26</formula>
    </cfRule>
    <cfRule type="cellIs" dxfId="3" priority="3" stopIfTrue="1" operator="greaterThan">
      <formula>$A$26</formula>
    </cfRule>
  </conditionalFormatting>
  <conditionalFormatting sqref="H7:H9 H4:J5 H11:H23 I7:J7 J8:J23">
    <cfRule type="cellIs" dxfId="2" priority="4" stopIfTrue="1" operator="between">
      <formula>$B$24</formula>
      <formula>$B$25</formula>
    </cfRule>
    <cfRule type="cellIs" dxfId="1" priority="5" stopIfTrue="1" operator="between">
      <formula>$B$25</formula>
      <formula>$B$26</formula>
    </cfRule>
    <cfRule type="cellIs" dxfId="0" priority="6" stopIfTrue="1" operator="greaterThan">
      <formula>$B$26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2:J46"/>
  <sheetViews>
    <sheetView workbookViewId="0">
      <selection activeCell="D12" sqref="D12"/>
    </sheetView>
  </sheetViews>
  <sheetFormatPr defaultRowHeight="13.2"/>
  <cols>
    <col min="1" max="1" width="26.6640625" bestFit="1" customWidth="1"/>
    <col min="2" max="2" width="5" customWidth="1"/>
    <col min="3" max="3" width="9.5546875" bestFit="1" customWidth="1"/>
    <col min="4" max="4" width="16.6640625" bestFit="1" customWidth="1"/>
  </cols>
  <sheetData>
    <row r="2" spans="1:10">
      <c r="A2" s="10" t="s">
        <v>14</v>
      </c>
      <c r="B2" s="10"/>
      <c r="C2" s="10" t="s">
        <v>52</v>
      </c>
      <c r="D2" s="10"/>
      <c r="E2" s="10" t="s">
        <v>53</v>
      </c>
      <c r="H2" s="10" t="s">
        <v>133</v>
      </c>
    </row>
    <row r="4" spans="1:10">
      <c r="A4" s="10" t="s">
        <v>61</v>
      </c>
      <c r="B4" s="10"/>
      <c r="C4" s="1">
        <v>60000000</v>
      </c>
      <c r="D4" t="s">
        <v>17</v>
      </c>
      <c r="E4" s="1">
        <v>10000000</v>
      </c>
      <c r="H4" t="s">
        <v>24</v>
      </c>
    </row>
    <row r="5" spans="1:10">
      <c r="A5" s="10" t="s">
        <v>15</v>
      </c>
      <c r="B5" s="10"/>
      <c r="C5" s="1">
        <v>45000</v>
      </c>
      <c r="D5" t="s">
        <v>18</v>
      </c>
      <c r="E5" s="1">
        <v>25000</v>
      </c>
      <c r="H5" t="s">
        <v>24</v>
      </c>
    </row>
    <row r="6" spans="1:10">
      <c r="A6" s="10" t="s">
        <v>16</v>
      </c>
      <c r="B6" s="10"/>
      <c r="C6" s="1">
        <v>20000000</v>
      </c>
      <c r="D6" t="s">
        <v>54</v>
      </c>
      <c r="E6" s="1">
        <v>10000000</v>
      </c>
      <c r="H6" t="s">
        <v>134</v>
      </c>
    </row>
    <row r="7" spans="1:10">
      <c r="A7" s="10" t="s">
        <v>58</v>
      </c>
      <c r="B7" s="10"/>
      <c r="C7" s="1">
        <v>1000000000</v>
      </c>
      <c r="D7" t="s">
        <v>41</v>
      </c>
      <c r="E7" s="36">
        <v>500000000</v>
      </c>
      <c r="H7" t="s">
        <v>24</v>
      </c>
    </row>
    <row r="8" spans="1:10">
      <c r="A8" s="10" t="s">
        <v>5</v>
      </c>
      <c r="B8" s="10"/>
      <c r="C8" s="1">
        <v>200000</v>
      </c>
      <c r="D8" t="s">
        <v>18</v>
      </c>
      <c r="E8" s="1">
        <v>100000</v>
      </c>
      <c r="H8" t="s">
        <v>35</v>
      </c>
    </row>
    <row r="9" spans="1:10">
      <c r="A9" s="10" t="s">
        <v>55</v>
      </c>
      <c r="B9" s="10"/>
      <c r="C9" s="1">
        <v>500000</v>
      </c>
      <c r="D9" t="s">
        <v>18</v>
      </c>
      <c r="E9" s="1">
        <v>500000</v>
      </c>
      <c r="H9" t="s">
        <v>35</v>
      </c>
    </row>
    <row r="10" spans="1:10">
      <c r="A10" s="10" t="s">
        <v>56</v>
      </c>
      <c r="B10" s="10"/>
      <c r="C10" s="1">
        <v>40000000</v>
      </c>
      <c r="D10" t="s">
        <v>57</v>
      </c>
      <c r="E10" s="1">
        <v>10000000</v>
      </c>
      <c r="H10" t="s">
        <v>24</v>
      </c>
    </row>
    <row r="11" spans="1:10">
      <c r="A11" s="10" t="s">
        <v>59</v>
      </c>
      <c r="B11" s="10"/>
      <c r="C11" s="1">
        <v>1400</v>
      </c>
      <c r="D11" t="s">
        <v>57</v>
      </c>
      <c r="E11" s="1">
        <v>200</v>
      </c>
      <c r="H11" t="s">
        <v>35</v>
      </c>
    </row>
    <row r="12" spans="1:10">
      <c r="A12" s="10" t="s">
        <v>60</v>
      </c>
      <c r="B12" s="10"/>
      <c r="C12" s="1">
        <v>10000000</v>
      </c>
      <c r="D12" t="s">
        <v>124</v>
      </c>
      <c r="E12" s="1">
        <v>10000000</v>
      </c>
      <c r="H12" t="s">
        <v>35</v>
      </c>
      <c r="J12" s="10"/>
    </row>
    <row r="13" spans="1:10">
      <c r="A13" s="10" t="s">
        <v>49</v>
      </c>
      <c r="B13" s="10"/>
      <c r="C13" s="1">
        <v>10000000</v>
      </c>
      <c r="D13" t="s">
        <v>123</v>
      </c>
      <c r="E13" s="1">
        <v>10000000</v>
      </c>
      <c r="H13" t="s">
        <v>35</v>
      </c>
    </row>
    <row r="14" spans="1:10">
      <c r="A14" s="10" t="s">
        <v>48</v>
      </c>
      <c r="B14" s="10"/>
      <c r="C14" s="1">
        <v>200000</v>
      </c>
      <c r="D14" t="s">
        <v>18</v>
      </c>
      <c r="E14" s="1">
        <v>25000</v>
      </c>
      <c r="H14" t="s">
        <v>24</v>
      </c>
    </row>
    <row r="15" spans="1:10">
      <c r="A15" s="10"/>
      <c r="B15" s="10"/>
    </row>
    <row r="17" spans="1:10">
      <c r="A17" s="10" t="s">
        <v>36</v>
      </c>
      <c r="B17" s="10"/>
      <c r="C17" s="3">
        <v>0.4</v>
      </c>
      <c r="D17" t="s">
        <v>37</v>
      </c>
      <c r="E17" s="3">
        <v>0.4</v>
      </c>
      <c r="F17" t="s">
        <v>37</v>
      </c>
      <c r="J17" s="10"/>
    </row>
    <row r="18" spans="1:10">
      <c r="A18" s="10" t="s">
        <v>130</v>
      </c>
      <c r="C18">
        <v>10</v>
      </c>
      <c r="D18" t="s">
        <v>32</v>
      </c>
    </row>
    <row r="22" spans="1:10">
      <c r="A22" s="10" t="s">
        <v>122</v>
      </c>
      <c r="B22" s="10"/>
      <c r="J22" s="10"/>
    </row>
    <row r="23" spans="1:10">
      <c r="A23" s="31" t="s">
        <v>52</v>
      </c>
      <c r="B23" s="31"/>
      <c r="C23" s="26"/>
      <c r="D23" s="26"/>
      <c r="E23" s="26"/>
    </row>
    <row r="24" spans="1:10">
      <c r="A24" s="28" t="s">
        <v>112</v>
      </c>
      <c r="B24" s="28"/>
      <c r="C24" s="27" t="s">
        <v>113</v>
      </c>
      <c r="D24" s="27" t="s">
        <v>111</v>
      </c>
      <c r="E24" s="27" t="s">
        <v>110</v>
      </c>
    </row>
    <row r="25" spans="1:10">
      <c r="A25" s="28" t="s">
        <v>114</v>
      </c>
      <c r="B25" s="28">
        <v>1</v>
      </c>
      <c r="C25" s="32">
        <v>93000000000</v>
      </c>
      <c r="D25" s="32">
        <v>45000000000</v>
      </c>
      <c r="E25" s="32">
        <v>590</v>
      </c>
      <c r="G25" s="10"/>
    </row>
    <row r="26" spans="1:10">
      <c r="A26" s="28" t="s">
        <v>115</v>
      </c>
      <c r="B26" s="28">
        <v>2</v>
      </c>
      <c r="C26" s="32">
        <v>42000000000000</v>
      </c>
      <c r="D26" s="32">
        <v>30000000000000</v>
      </c>
      <c r="E26" s="32">
        <v>95000000</v>
      </c>
    </row>
    <row r="27" spans="1:10">
      <c r="A27" s="28" t="s">
        <v>116</v>
      </c>
      <c r="B27" s="28">
        <v>3</v>
      </c>
      <c r="C27" s="32">
        <v>69000000000</v>
      </c>
      <c r="D27" s="32">
        <v>23000000000</v>
      </c>
      <c r="E27" s="32">
        <v>0.33</v>
      </c>
    </row>
    <row r="28" spans="1:10">
      <c r="A28" s="28" t="s">
        <v>117</v>
      </c>
      <c r="B28" s="28">
        <v>4</v>
      </c>
      <c r="C28" s="32">
        <v>220000000000</v>
      </c>
      <c r="D28" s="32">
        <v>72000000000</v>
      </c>
      <c r="E28" s="32">
        <v>1</v>
      </c>
    </row>
    <row r="29" spans="1:10">
      <c r="A29" s="28" t="s">
        <v>118</v>
      </c>
      <c r="B29" s="28">
        <v>5</v>
      </c>
      <c r="C29" s="32">
        <v>110000000000</v>
      </c>
      <c r="D29" s="32">
        <v>52000000000</v>
      </c>
      <c r="E29" s="32">
        <v>680</v>
      </c>
    </row>
    <row r="30" spans="1:10">
      <c r="A30" s="28" t="s">
        <v>119</v>
      </c>
      <c r="B30" s="28">
        <v>6</v>
      </c>
      <c r="C30" s="32">
        <v>8000000000</v>
      </c>
      <c r="D30" s="32">
        <v>3900000000</v>
      </c>
      <c r="E30" s="32">
        <v>51</v>
      </c>
      <c r="G30" s="10"/>
    </row>
    <row r="31" spans="1:10">
      <c r="A31" s="28" t="s">
        <v>120</v>
      </c>
      <c r="B31" s="28">
        <v>7</v>
      </c>
      <c r="C31" s="32">
        <v>11000000000</v>
      </c>
      <c r="D31" s="32">
        <v>6600000000</v>
      </c>
      <c r="E31" s="32">
        <v>1700</v>
      </c>
    </row>
    <row r="32" spans="1:10">
      <c r="A32" s="28" t="s">
        <v>203</v>
      </c>
      <c r="B32" s="28">
        <v>8</v>
      </c>
      <c r="C32" s="32">
        <v>390000000</v>
      </c>
      <c r="D32" s="32">
        <v>190000000</v>
      </c>
      <c r="E32" s="32">
        <v>2.5</v>
      </c>
    </row>
    <row r="34" spans="1:10">
      <c r="J34" s="10"/>
    </row>
    <row r="36" spans="1:10">
      <c r="A36" s="25" t="s">
        <v>121</v>
      </c>
      <c r="B36" s="25"/>
      <c r="J36" s="10"/>
    </row>
    <row r="37" spans="1:10">
      <c r="A37" s="28" t="s">
        <v>112</v>
      </c>
      <c r="B37" s="28"/>
      <c r="C37" s="27" t="s">
        <v>113</v>
      </c>
      <c r="D37" s="27" t="s">
        <v>111</v>
      </c>
      <c r="E37" s="27" t="s">
        <v>110</v>
      </c>
    </row>
    <row r="38" spans="1:10">
      <c r="A38" s="28" t="s">
        <v>114</v>
      </c>
      <c r="B38" s="28">
        <v>1</v>
      </c>
      <c r="C38" s="32">
        <v>2100000000000</v>
      </c>
      <c r="D38" s="32">
        <v>1300000000000</v>
      </c>
      <c r="E38" s="32">
        <v>950000</v>
      </c>
    </row>
    <row r="39" spans="1:10">
      <c r="A39" s="28" t="s">
        <v>115</v>
      </c>
      <c r="B39" s="28">
        <v>2</v>
      </c>
      <c r="C39" s="32">
        <v>10000000000000</v>
      </c>
      <c r="D39" s="32">
        <v>11000000000000</v>
      </c>
      <c r="E39" s="32">
        <v>1800000000</v>
      </c>
      <c r="G39" s="10"/>
    </row>
    <row r="40" spans="1:10">
      <c r="A40" s="28" t="s">
        <v>116</v>
      </c>
      <c r="B40" s="28">
        <v>3</v>
      </c>
      <c r="C40" s="32">
        <v>14000000000</v>
      </c>
      <c r="D40" s="32">
        <v>6200000000</v>
      </c>
      <c r="E40" s="32">
        <v>31</v>
      </c>
    </row>
    <row r="41" spans="1:10">
      <c r="A41" s="28" t="s">
        <v>117</v>
      </c>
      <c r="B41" s="28">
        <v>4</v>
      </c>
      <c r="C41" s="32">
        <v>57000000000</v>
      </c>
      <c r="D41" s="32">
        <v>26000000000</v>
      </c>
      <c r="E41" s="32">
        <v>130</v>
      </c>
    </row>
    <row r="42" spans="1:10">
      <c r="A42" s="28" t="s">
        <v>118</v>
      </c>
      <c r="B42" s="28">
        <v>5</v>
      </c>
      <c r="C42" s="32">
        <v>56000000000</v>
      </c>
      <c r="D42" s="32">
        <v>36000000000</v>
      </c>
      <c r="E42" s="32">
        <v>26000</v>
      </c>
      <c r="G42" s="10"/>
    </row>
    <row r="43" spans="1:10">
      <c r="A43" s="28" t="s">
        <v>119</v>
      </c>
      <c r="B43" s="28">
        <v>6</v>
      </c>
      <c r="C43" s="32">
        <v>12000000000</v>
      </c>
      <c r="D43" s="32">
        <v>5600000000</v>
      </c>
      <c r="E43" s="32">
        <v>28</v>
      </c>
    </row>
    <row r="44" spans="1:10">
      <c r="A44" s="28" t="s">
        <v>120</v>
      </c>
      <c r="B44" s="28">
        <v>7</v>
      </c>
      <c r="C44" s="32">
        <v>11000000000</v>
      </c>
      <c r="D44" s="32">
        <v>8500000000</v>
      </c>
      <c r="E44" s="32">
        <v>75000</v>
      </c>
      <c r="G44" s="10"/>
    </row>
    <row r="45" spans="1:10">
      <c r="A45" s="28" t="s">
        <v>203</v>
      </c>
      <c r="B45" s="28">
        <v>8</v>
      </c>
      <c r="C45" s="32">
        <v>20000000</v>
      </c>
      <c r="D45" s="32">
        <v>13000000</v>
      </c>
      <c r="E45" s="32">
        <v>9.3000000000000007</v>
      </c>
    </row>
    <row r="46" spans="1:10">
      <c r="J46" s="10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F21"/>
  <sheetViews>
    <sheetView workbookViewId="0">
      <selection activeCell="C25" sqref="C25"/>
    </sheetView>
  </sheetViews>
  <sheetFormatPr defaultRowHeight="13.2"/>
  <cols>
    <col min="2" max="2" width="17.5546875" customWidth="1"/>
    <col min="3" max="3" width="13.88671875" customWidth="1"/>
    <col min="4" max="4" width="10.5546875" customWidth="1"/>
    <col min="5" max="5" width="14.6640625" customWidth="1"/>
    <col min="6" max="6" width="14.5546875" customWidth="1"/>
  </cols>
  <sheetData>
    <row r="1" spans="1:6">
      <c r="A1" t="s">
        <v>67</v>
      </c>
    </row>
    <row r="2" spans="1:6">
      <c r="A2" s="14"/>
    </row>
    <row r="3" spans="1:6">
      <c r="A3" s="15"/>
      <c r="B3" s="16" t="s">
        <v>68</v>
      </c>
      <c r="C3" s="16" t="s">
        <v>69</v>
      </c>
      <c r="D3" s="16" t="s">
        <v>70</v>
      </c>
      <c r="E3" s="16" t="s">
        <v>71</v>
      </c>
      <c r="F3" s="16" t="s">
        <v>72</v>
      </c>
    </row>
    <row r="4" spans="1:6">
      <c r="A4" s="127"/>
      <c r="B4" s="125" t="s">
        <v>73</v>
      </c>
      <c r="C4" s="127" t="s">
        <v>74</v>
      </c>
      <c r="D4" s="125" t="s">
        <v>75</v>
      </c>
      <c r="E4" s="17" t="s">
        <v>76</v>
      </c>
      <c r="F4" s="125" t="s">
        <v>78</v>
      </c>
    </row>
    <row r="5" spans="1:6" ht="28.5" customHeight="1">
      <c r="A5" s="128"/>
      <c r="B5" s="126"/>
      <c r="C5" s="128"/>
      <c r="D5" s="126"/>
      <c r="E5" s="18" t="s">
        <v>77</v>
      </c>
      <c r="F5" s="126"/>
    </row>
    <row r="6" spans="1:6">
      <c r="A6" s="127">
        <v>1</v>
      </c>
      <c r="B6" s="127" t="s">
        <v>79</v>
      </c>
      <c r="C6" s="125">
        <v>200</v>
      </c>
      <c r="D6" s="125">
        <v>400</v>
      </c>
      <c r="E6" s="125">
        <v>360</v>
      </c>
      <c r="F6" s="17" t="s">
        <v>80</v>
      </c>
    </row>
    <row r="7" spans="1:6" ht="19.5" customHeight="1">
      <c r="A7" s="128"/>
      <c r="B7" s="128"/>
      <c r="C7" s="126"/>
      <c r="D7" s="126"/>
      <c r="E7" s="126"/>
      <c r="F7" s="18" t="s">
        <v>81</v>
      </c>
    </row>
    <row r="8" spans="1:6" ht="28.5" customHeight="1">
      <c r="A8" s="19">
        <v>2</v>
      </c>
      <c r="B8" s="20" t="s">
        <v>82</v>
      </c>
      <c r="C8" s="21">
        <v>500</v>
      </c>
      <c r="D8" s="21">
        <v>1000</v>
      </c>
      <c r="E8" s="21">
        <v>900</v>
      </c>
      <c r="F8" s="21" t="s">
        <v>83</v>
      </c>
    </row>
    <row r="9" spans="1:6">
      <c r="A9" s="22"/>
    </row>
    <row r="10" spans="1:6">
      <c r="A10" s="22"/>
    </row>
    <row r="11" spans="1:6">
      <c r="A11" t="s">
        <v>84</v>
      </c>
    </row>
    <row r="13" spans="1:6">
      <c r="A13" s="15"/>
      <c r="B13" s="16" t="s">
        <v>68</v>
      </c>
      <c r="C13" s="16" t="s">
        <v>69</v>
      </c>
      <c r="D13" s="16" t="s">
        <v>70</v>
      </c>
      <c r="E13" s="16" t="s">
        <v>71</v>
      </c>
      <c r="F13" s="16" t="s">
        <v>85</v>
      </c>
    </row>
    <row r="14" spans="1:6">
      <c r="A14" s="127"/>
      <c r="B14" s="125" t="s">
        <v>73</v>
      </c>
      <c r="C14" s="127" t="s">
        <v>74</v>
      </c>
      <c r="D14" s="125" t="s">
        <v>75</v>
      </c>
      <c r="E14" s="17" t="s">
        <v>76</v>
      </c>
      <c r="F14" s="125" t="s">
        <v>86</v>
      </c>
    </row>
    <row r="15" spans="1:6" ht="29.25" customHeight="1">
      <c r="A15" s="128"/>
      <c r="B15" s="126"/>
      <c r="C15" s="128"/>
      <c r="D15" s="126"/>
      <c r="E15" s="18" t="s">
        <v>77</v>
      </c>
      <c r="F15" s="126"/>
    </row>
    <row r="16" spans="1:6">
      <c r="A16" s="127">
        <v>1</v>
      </c>
      <c r="B16" s="127" t="s">
        <v>79</v>
      </c>
      <c r="C16" s="125" t="s">
        <v>87</v>
      </c>
      <c r="D16" s="125" t="s">
        <v>88</v>
      </c>
      <c r="E16" s="125" t="s">
        <v>89</v>
      </c>
      <c r="F16" s="17" t="s">
        <v>80</v>
      </c>
    </row>
    <row r="17" spans="1:6">
      <c r="A17" s="128"/>
      <c r="B17" s="128"/>
      <c r="C17" s="126"/>
      <c r="D17" s="126"/>
      <c r="E17" s="126"/>
      <c r="F17" s="18" t="s">
        <v>81</v>
      </c>
    </row>
    <row r="18" spans="1:6">
      <c r="A18" s="127">
        <v>2</v>
      </c>
      <c r="B18" s="127" t="s">
        <v>82</v>
      </c>
      <c r="C18" s="125" t="s">
        <v>90</v>
      </c>
      <c r="D18" s="125" t="s">
        <v>91</v>
      </c>
      <c r="E18" s="125" t="s">
        <v>92</v>
      </c>
      <c r="F18" s="17" t="s">
        <v>93</v>
      </c>
    </row>
    <row r="19" spans="1:6" ht="17.25" customHeight="1">
      <c r="A19" s="128"/>
      <c r="B19" s="128"/>
      <c r="C19" s="126"/>
      <c r="D19" s="126"/>
      <c r="E19" s="126"/>
      <c r="F19" s="18" t="s">
        <v>94</v>
      </c>
    </row>
    <row r="20" spans="1:6">
      <c r="A20" s="22" t="s">
        <v>95</v>
      </c>
      <c r="B20" s="22" t="s">
        <v>96</v>
      </c>
    </row>
    <row r="21" spans="1:6" ht="15.6">
      <c r="A21" s="22" t="s">
        <v>97</v>
      </c>
      <c r="B21" s="22" t="s">
        <v>98</v>
      </c>
    </row>
  </sheetData>
  <sheetProtection password="C670" sheet="1" objects="1" scenarios="1"/>
  <mergeCells count="25">
    <mergeCell ref="F4:F5"/>
    <mergeCell ref="A6:A7"/>
    <mergeCell ref="B6:B7"/>
    <mergeCell ref="C6:C7"/>
    <mergeCell ref="D6:D7"/>
    <mergeCell ref="A4:A5"/>
    <mergeCell ref="B4:B5"/>
    <mergeCell ref="C4:C5"/>
    <mergeCell ref="D4:D5"/>
    <mergeCell ref="E6:E7"/>
    <mergeCell ref="F14:F15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8:E19"/>
    <mergeCell ref="A18:A19"/>
    <mergeCell ref="B18:B19"/>
    <mergeCell ref="C18:C19"/>
    <mergeCell ref="D18:D19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2</vt:i4>
      </vt:variant>
    </vt:vector>
  </HeadingPairs>
  <TitlesOfParts>
    <vt:vector size="11" baseType="lpstr">
      <vt:lpstr>logboek</vt:lpstr>
      <vt:lpstr>instructies</vt:lpstr>
      <vt:lpstr>invulblad</vt:lpstr>
      <vt:lpstr>rekenblad meren</vt:lpstr>
      <vt:lpstr>rekenblad kanalen</vt:lpstr>
      <vt:lpstr>Uitslag</vt:lpstr>
      <vt:lpstr>Onzekerheden</vt:lpstr>
      <vt:lpstr>Richtgetallen</vt:lpstr>
      <vt:lpstr>Normen</vt:lpstr>
      <vt:lpstr>invulblad!Afdrukbereik</vt:lpstr>
      <vt:lpstr>Uitslag!Afdrukbereik</vt:lpstr>
    </vt:vector>
  </TitlesOfParts>
  <Company>Grontmij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P070868</dc:creator>
  <cp:lastModifiedBy>p070868</cp:lastModifiedBy>
  <cp:lastPrinted>2009-09-04T07:29:14Z</cp:lastPrinted>
  <dcterms:created xsi:type="dcterms:W3CDTF">2005-02-16T09:50:07Z</dcterms:created>
  <dcterms:modified xsi:type="dcterms:W3CDTF">2014-02-03T09:17:19Z</dcterms:modified>
</cp:coreProperties>
</file>