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eucPCk6EwhtHRBBXXmIJFGObD1pd9Rxf+bTIn7PE7FX+941lgqx4iKTVdFGR8uyqFxq87qvAbyirclZu27O7JA==" workbookSaltValue="EazA/2jAsUT1efCTBnb4ag==" workbookSpinCount="100000" lockStructure="1"/>
  <bookViews>
    <workbookView xWindow="0" yWindow="0" windowWidth="22260" windowHeight="12645"/>
  </bookViews>
  <sheets>
    <sheet name="Programma" sheetId="1" r:id="rId1"/>
    <sheet name="Configuratie" sheetId="2" r:id="rId2"/>
    <sheet name="Help" sheetId="4" r:id="rId3"/>
    <sheet name="berekeningen" sheetId="3" r:id="rId4"/>
  </sheets>
  <definedNames>
    <definedName name="_xlnm.Print_Area" localSheetId="0">Programma!$A$1:$I$17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E11" i="3"/>
  <c r="G12" i="1" s="1"/>
  <c r="F11" i="3"/>
  <c r="H12" i="1" s="1"/>
  <c r="E1" i="3" l="1"/>
  <c r="E2" i="3"/>
  <c r="E3" i="3"/>
  <c r="G4" i="1" s="1"/>
  <c r="G6" i="1" l="1"/>
  <c r="E4" i="3"/>
  <c r="E5" i="3" l="1"/>
  <c r="G5" i="1"/>
  <c r="E15" i="3"/>
  <c r="H16" i="1" s="1"/>
  <c r="F15" i="3"/>
  <c r="G16" i="1" s="1"/>
  <c r="G7" i="1" l="1"/>
  <c r="E6" i="3"/>
  <c r="G9" i="1" l="1"/>
  <c r="E12" i="3"/>
  <c r="E13" i="3"/>
  <c r="H14" i="1" s="1"/>
  <c r="H13" i="1" l="1"/>
  <c r="E14" i="3"/>
  <c r="H15" i="1" l="1"/>
  <c r="E16" i="3"/>
  <c r="H17" i="1" l="1"/>
  <c r="E7" i="3"/>
  <c r="E8" i="3" s="1"/>
  <c r="G8" i="1" l="1"/>
  <c r="F13" i="3"/>
  <c r="G14" i="1" s="1"/>
  <c r="F12" i="3"/>
  <c r="G13" i="1" l="1"/>
  <c r="F14" i="3"/>
  <c r="G15" i="1" l="1"/>
  <c r="F16" i="3"/>
  <c r="G17" i="1" s="1"/>
</calcChain>
</file>

<file path=xl/sharedStrings.xml><?xml version="1.0" encoding="utf-8"?>
<sst xmlns="http://schemas.openxmlformats.org/spreadsheetml/2006/main" count="105" uniqueCount="71">
  <si>
    <t>Configuratie RIBOHEB</t>
  </si>
  <si>
    <t>(€)</t>
  </si>
  <si>
    <t>(%)</t>
  </si>
  <si>
    <t>Kosten meetdag</t>
  </si>
  <si>
    <t>Analysekosten CZV, BZV, KjN, Cl-</t>
  </si>
  <si>
    <t>Perceptiekosten</t>
  </si>
  <si>
    <t>Kosten</t>
  </si>
  <si>
    <t>Heffing</t>
  </si>
  <si>
    <t>Grondslag</t>
  </si>
  <si>
    <t>ve/kgO2</t>
  </si>
  <si>
    <t>Heffingsbedrag per VeO</t>
  </si>
  <si>
    <t>Bedrijf</t>
  </si>
  <si>
    <t>Lozingsdagen per jaar</t>
  </si>
  <si>
    <t>(dagen)</t>
  </si>
  <si>
    <t>-</t>
  </si>
  <si>
    <t>RiBOHeP : Richtlijn Bepaling Onderzoeksfrequentie Heffing Parameters</t>
  </si>
  <si>
    <t>Invoer</t>
  </si>
  <si>
    <t>Vervuilingswaarde</t>
  </si>
  <si>
    <t>(zuurstofbindende stoffen)</t>
  </si>
  <si>
    <t>t.o.v. het jaargemiddelde</t>
  </si>
  <si>
    <t>Spreiding</t>
  </si>
  <si>
    <t>Vracht</t>
  </si>
  <si>
    <t>T.S.O.</t>
  </si>
  <si>
    <t>Aantal dagen</t>
  </si>
  <si>
    <t>(Perceptiekosten uit)</t>
  </si>
  <si>
    <t>(Perceptiekosten aan)</t>
  </si>
  <si>
    <t>Vervuilingseenheden</t>
  </si>
  <si>
    <t>(VeO)</t>
  </si>
  <si>
    <t>Resultaten</t>
  </si>
  <si>
    <t>Totale labkosten</t>
  </si>
  <si>
    <t>Totale kosten monstername</t>
  </si>
  <si>
    <t>Kosten per monstername</t>
  </si>
  <si>
    <t>Totale kosten</t>
  </si>
  <si>
    <t>Heffingsopbrengst</t>
  </si>
  <si>
    <t>Effectief kostenpercentage</t>
  </si>
  <si>
    <t>kg/j</t>
  </si>
  <si>
    <t>VeO</t>
  </si>
  <si>
    <t>TSO</t>
  </si>
  <si>
    <t>N</t>
  </si>
  <si>
    <t>geen perceptiekosten</t>
  </si>
  <si>
    <t>Aantal Lozingsdagen</t>
  </si>
  <si>
    <t>check perceptie</t>
  </si>
  <si>
    <t>N (perceptie)</t>
  </si>
  <si>
    <t>(1= groter dan 40%; 2= kleiner dan 40%)</t>
  </si>
  <si>
    <t>Perceptie uit</t>
  </si>
  <si>
    <t>AAN</t>
  </si>
  <si>
    <t>UIT</t>
  </si>
  <si>
    <t>(kg/j)</t>
  </si>
  <si>
    <t>Perceptie aan</t>
  </si>
  <si>
    <t>Kosten per meetdag</t>
  </si>
  <si>
    <t>L.H.S. Braam</t>
  </si>
  <si>
    <t>Naam bedrijf:</t>
  </si>
  <si>
    <t>Bedrijf X</t>
  </si>
  <si>
    <t>jan 2021</t>
  </si>
  <si>
    <t>Help bij RiboHep</t>
  </si>
  <si>
    <t>Algemeen</t>
  </si>
  <si>
    <t>het bestand RiBOHeP  heeft drie tab-bladen:</t>
  </si>
  <si>
    <t>1. Het Programma tab-blad. Hierin kan de gebruiker een jaarvracht en een spreiding invoeren en wordt onmiddellijk het vereiste aantal meetdagen getoond.</t>
  </si>
  <si>
    <t>3. Het tab-blad Help. In dit tab-blad wordt de werking van het bestand weergegeven.</t>
  </si>
  <si>
    <t>Invullen van vereiste informatie</t>
  </si>
  <si>
    <t>De basis voor het gebruik van RiBOHeP</t>
  </si>
  <si>
    <t>Voor de berekening van de frequentie van meting, bemonstering en analyse als bedoeld in artikel 7.5, eerste en tweede lid, van de wet wordt gebruik gemaakt van de volgende formule:</t>
  </si>
  <si>
    <t>waarbij:</t>
  </si>
  <si>
    <t>35/e ^0,000175*VeO, waarbij VeO = vervuilingswaarde met betrekking tot het zuurstofverbruik in een jaar van de in de oppervlaktelichamen geloosde stoffen.</t>
  </si>
  <si>
    <r>
      <rPr>
        <b/>
        <sz val="12"/>
        <color rgb="FF333333"/>
        <rFont val="Calibri"/>
        <family val="2"/>
        <scheme val="minor"/>
      </rPr>
      <t>n</t>
    </r>
    <r>
      <rPr>
        <sz val="11"/>
        <color rgb="FF333333"/>
        <rFont val="Calibri"/>
        <family val="2"/>
        <scheme val="minor"/>
      </rPr>
      <t xml:space="preserve"> = het berekende aantal meetdagen</t>
    </r>
  </si>
  <si>
    <r>
      <rPr>
        <b/>
        <sz val="12"/>
        <color rgb="FF333333"/>
        <rFont val="Calibri"/>
        <family val="2"/>
        <scheme val="minor"/>
      </rPr>
      <t>tso</t>
    </r>
    <r>
      <rPr>
        <sz val="11"/>
        <color rgb="FF333333"/>
        <rFont val="Calibri"/>
        <family val="2"/>
        <scheme val="minor"/>
      </rPr>
      <t xml:space="preserve"> = toelaatbare statische onnauwkeurigheid =</t>
    </r>
  </si>
  <si>
    <r>
      <rPr>
        <b/>
        <sz val="12"/>
        <color rgb="FF333333"/>
        <rFont val="Calibri"/>
        <family val="2"/>
        <scheme val="minor"/>
      </rPr>
      <t>N</t>
    </r>
    <r>
      <rPr>
        <b/>
        <sz val="11"/>
        <color rgb="FF333333"/>
        <rFont val="Calibri"/>
        <family val="2"/>
        <scheme val="minor"/>
      </rPr>
      <t xml:space="preserve"> = het aantal dagen per jaar dat stoffen in oppervlaktewaterlichamen worden geloosd;</t>
    </r>
  </si>
  <si>
    <r>
      <rPr>
        <b/>
        <sz val="12"/>
        <color rgb="FF333333"/>
        <rFont val="Calibri"/>
        <family val="2"/>
        <scheme val="minor"/>
      </rPr>
      <t>σ</t>
    </r>
    <r>
      <rPr>
        <sz val="11"/>
        <color rgb="FF333333"/>
        <rFont val="Calibri"/>
        <family val="2"/>
        <scheme val="minor"/>
      </rPr>
      <t xml:space="preserve"> = spreidingspercentage in de meetwaarden, uitgedrukt ten opzichte van het gemiddelde van de hoeveelheden zuurstofverbruik van de afgevoerde stoffen in de etmalen waarop gedurende het heffingsjaar onderzoek heeft plaatsgehad.</t>
    </r>
  </si>
  <si>
    <t>perceptiekosten</t>
  </si>
  <si>
    <t>In de gele velden kan de gebruiker de benodigde invoer geven. De rest van de velden is beveiligd.</t>
  </si>
  <si>
    <t>2. Het configuratie tab-blad. In dit tab-blad kan de gebruker zaken als bemonsteringskosten, het aantal lozingsdagen per jaar en de naam van het bedrijf invullen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</si>
</sst>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rgb="FF333333"/>
      <name val="Arial"/>
      <family val="2"/>
    </font>
    <font>
      <sz val="9"/>
      <color theme="0"/>
      <name val="Verdana"/>
      <family val="2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0" fontId="1" fillId="3" borderId="0" xfId="0" applyFont="1" applyFill="1" applyAlignment="1">
      <alignment horizontal="center"/>
    </xf>
    <xf numFmtId="0" fontId="0" fillId="3" borderId="0" xfId="0" applyFont="1" applyFill="1"/>
    <xf numFmtId="0" fontId="6" fillId="3" borderId="0" xfId="0" applyFont="1" applyFill="1"/>
    <xf numFmtId="0" fontId="1" fillId="3" borderId="0" xfId="0" applyFont="1" applyFill="1" applyAlignment="1">
      <alignment horizontal="center"/>
    </xf>
    <xf numFmtId="0" fontId="4" fillId="2" borderId="0" xfId="1"/>
    <xf numFmtId="0" fontId="0" fillId="3" borderId="2" xfId="0" applyFont="1" applyFill="1" applyBorder="1"/>
    <xf numFmtId="0" fontId="0" fillId="3" borderId="3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 applyAlignment="1">
      <alignment horizontal="center"/>
    </xf>
    <xf numFmtId="0" fontId="0" fillId="3" borderId="7" xfId="0" applyFont="1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1" fillId="3" borderId="8" xfId="0" applyFont="1" applyFill="1" applyBorder="1"/>
    <xf numFmtId="0" fontId="1" fillId="3" borderId="10" xfId="0" quotePrefix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7" fontId="5" fillId="3" borderId="0" xfId="0" quotePrefix="1" applyNumberFormat="1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0" xfId="0" applyFont="1" applyFill="1"/>
    <xf numFmtId="0" fontId="0" fillId="3" borderId="9" xfId="0" quotePrefix="1" applyFill="1" applyBorder="1" applyAlignment="1">
      <alignment horizontal="center"/>
    </xf>
    <xf numFmtId="0" fontId="0" fillId="0" borderId="0" xfId="0" applyFo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9" fillId="3" borderId="0" xfId="2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0" fillId="0" borderId="0" xfId="0" applyBorder="1"/>
    <xf numFmtId="0" fontId="0" fillId="4" borderId="4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hidden="1"/>
    </xf>
    <xf numFmtId="164" fontId="7" fillId="3" borderId="1" xfId="0" applyNumberFormat="1" applyFont="1" applyFill="1" applyBorder="1" applyAlignment="1" applyProtection="1">
      <alignment horizontal="center"/>
      <protection hidden="1"/>
    </xf>
    <xf numFmtId="1" fontId="8" fillId="3" borderId="1" xfId="0" applyNumberFormat="1" applyFont="1" applyFill="1" applyBorder="1" applyAlignment="1" applyProtection="1">
      <alignment horizontal="center"/>
      <protection hidden="1"/>
    </xf>
    <xf numFmtId="2" fontId="0" fillId="3" borderId="1" xfId="0" applyNumberFormat="1" applyFill="1" applyBorder="1" applyProtection="1">
      <protection hidden="1"/>
    </xf>
    <xf numFmtId="164" fontId="0" fillId="3" borderId="1" xfId="0" applyNumberFormat="1" applyFill="1" applyBorder="1" applyProtection="1">
      <protection hidden="1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0" fontId="0" fillId="3" borderId="0" xfId="0" applyFill="1" applyProtection="1">
      <protection hidden="1"/>
    </xf>
    <xf numFmtId="164" fontId="0" fillId="3" borderId="0" xfId="0" applyNumberFormat="1" applyFill="1" applyProtection="1">
      <protection hidden="1"/>
    </xf>
    <xf numFmtId="2" fontId="0" fillId="3" borderId="0" xfId="0" applyNumberFormat="1" applyFill="1" applyProtection="1">
      <protection hidden="1"/>
    </xf>
    <xf numFmtId="1" fontId="0" fillId="3" borderId="0" xfId="0" applyNumberForma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2" fontId="0" fillId="3" borderId="0" xfId="0" applyNumberFormat="1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right"/>
      <protection hidden="1"/>
    </xf>
    <xf numFmtId="164" fontId="0" fillId="3" borderId="0" xfId="0" applyNumberFormat="1" applyFill="1" applyAlignment="1" applyProtection="1">
      <alignment horizontal="center"/>
      <protection hidden="1"/>
    </xf>
  </cellXfs>
  <cellStyles count="3">
    <cellStyle name="Accent1" xfId="1" builtinId="29"/>
    <cellStyle name="Hyperlink" xfId="2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etten.overheid.nl/afbeelding?toestandid=BWBR0026845/2021-01-01_0&amp;naam=245800.png&amp;schalen=ne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174381</xdr:colOff>
      <xdr:row>9</xdr:row>
      <xdr:rowOff>57150</xdr:rowOff>
    </xdr:from>
    <xdr:to>
      <xdr:col>2</xdr:col>
      <xdr:colOff>34242</xdr:colOff>
      <xdr:row>16</xdr:row>
      <xdr:rowOff>13188</xdr:rowOff>
    </xdr:to>
    <xdr:pic>
      <xdr:nvPicPr>
        <xdr:cNvPr id="3" name="Rijkslint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918189" y="1771650"/>
          <a:ext cx="467995" cy="1289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2968625</xdr:colOff>
      <xdr:row>25</xdr:row>
      <xdr:rowOff>170180</xdr:rowOff>
    </xdr:to>
    <xdr:pic>
      <xdr:nvPicPr>
        <xdr:cNvPr id="3" name="Afbeelding 2" descr="Bijlage 245800.png">
          <a:hlinkClick xmlns:r="http://schemas.openxmlformats.org/officeDocument/2006/relationships" r:id="rId1" tgtFrame="&quot;_blank&quot;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2968625" cy="2265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etten.overheid.nl/jci1.3:c:BWBR0025458&amp;artikel=7.5&amp;g=2021-02-03&amp;z=2021-02-0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showWhiteSpace="0" zoomScale="130" zoomScaleNormal="130" zoomScaleSheetLayoutView="115" workbookViewId="0">
      <selection activeCell="C5" sqref="C5"/>
    </sheetView>
  </sheetViews>
  <sheetFormatPr defaultRowHeight="15" x14ac:dyDescent="0.25"/>
  <cols>
    <col min="1" max="1" width="26.140625" bestFit="1" customWidth="1"/>
    <col min="3" max="3" width="7.140625" bestFit="1" customWidth="1"/>
    <col min="4" max="4" width="2.28515625" customWidth="1"/>
    <col min="5" max="5" width="26.42578125" bestFit="1" customWidth="1"/>
    <col min="6" max="6" width="6.28515625" bestFit="1" customWidth="1"/>
    <col min="7" max="7" width="13.28515625" bestFit="1" customWidth="1"/>
    <col min="8" max="8" width="12.42578125" bestFit="1" customWidth="1"/>
  </cols>
  <sheetData>
    <row r="1" spans="1:11" x14ac:dyDescent="0.25">
      <c r="A1" s="2" t="s">
        <v>15</v>
      </c>
      <c r="B1" s="3"/>
      <c r="C1" s="3"/>
      <c r="D1" s="3"/>
      <c r="E1" s="3"/>
      <c r="F1" s="3"/>
      <c r="G1" s="3"/>
      <c r="H1" s="3"/>
      <c r="I1" s="3"/>
    </row>
    <row r="2" spans="1:11" x14ac:dyDescent="0.25">
      <c r="A2" s="11" t="str">
        <f>+Configuratie!C14</f>
        <v>Bedrijf X</v>
      </c>
      <c r="B2" s="3"/>
      <c r="C2" s="3"/>
      <c r="D2" s="3"/>
      <c r="E2" s="3"/>
      <c r="F2" s="3"/>
      <c r="G2" s="3"/>
      <c r="H2" s="3"/>
      <c r="I2" s="3"/>
    </row>
    <row r="3" spans="1:11" x14ac:dyDescent="0.25">
      <c r="A3" s="3"/>
      <c r="B3" s="3"/>
      <c r="C3" s="3"/>
      <c r="D3" s="3"/>
      <c r="E3" s="9" t="s">
        <v>28</v>
      </c>
      <c r="F3" s="3"/>
      <c r="G3" s="3"/>
      <c r="H3" s="3"/>
      <c r="I3" s="3"/>
    </row>
    <row r="4" spans="1:11" x14ac:dyDescent="0.25">
      <c r="A4" s="9" t="s">
        <v>16</v>
      </c>
      <c r="B4" s="8"/>
      <c r="C4" s="8"/>
      <c r="D4" s="3"/>
      <c r="E4" s="18" t="s">
        <v>21</v>
      </c>
      <c r="F4" s="22" t="s">
        <v>47</v>
      </c>
      <c r="G4" s="40">
        <f>+IF(C5="","",berekeningen!E3)</f>
        <v>5000</v>
      </c>
      <c r="H4" s="3"/>
      <c r="I4" s="3"/>
    </row>
    <row r="5" spans="1:11" x14ac:dyDescent="0.25">
      <c r="A5" s="12" t="s">
        <v>17</v>
      </c>
      <c r="B5" s="13" t="s">
        <v>47</v>
      </c>
      <c r="C5" s="39">
        <v>5000</v>
      </c>
      <c r="D5" s="3"/>
      <c r="E5" s="18" t="s">
        <v>26</v>
      </c>
      <c r="F5" s="22" t="s">
        <v>27</v>
      </c>
      <c r="G5" s="41">
        <f>+IF(C5="","",berekeningen!E4)</f>
        <v>91.240875912408768</v>
      </c>
      <c r="H5" s="3"/>
      <c r="I5" s="3"/>
      <c r="K5" s="38"/>
    </row>
    <row r="6" spans="1:11" x14ac:dyDescent="0.25">
      <c r="A6" s="14" t="s">
        <v>18</v>
      </c>
      <c r="B6" s="15"/>
      <c r="C6" s="16"/>
      <c r="D6" s="3"/>
      <c r="E6" s="18" t="s">
        <v>20</v>
      </c>
      <c r="F6" s="22" t="s">
        <v>2</v>
      </c>
      <c r="G6" s="40">
        <f>+IF(C5="","",berekeningen!E2)</f>
        <v>80</v>
      </c>
      <c r="H6" s="3"/>
      <c r="I6" s="3"/>
      <c r="K6" s="38"/>
    </row>
    <row r="7" spans="1:11" x14ac:dyDescent="0.25">
      <c r="A7" s="12" t="s">
        <v>20</v>
      </c>
      <c r="B7" s="13" t="s">
        <v>2</v>
      </c>
      <c r="C7" s="39">
        <v>80</v>
      </c>
      <c r="D7" s="3"/>
      <c r="E7" s="18" t="s">
        <v>22</v>
      </c>
      <c r="F7" s="22" t="s">
        <v>2</v>
      </c>
      <c r="G7" s="41">
        <f>+IF(C5="","",berekeningen!E5)</f>
        <v>34.445587607763869</v>
      </c>
      <c r="H7" s="3"/>
      <c r="I7" s="3"/>
      <c r="K7" s="38"/>
    </row>
    <row r="8" spans="1:11" x14ac:dyDescent="0.25">
      <c r="A8" s="14" t="s">
        <v>19</v>
      </c>
      <c r="B8" s="15"/>
      <c r="C8" s="17"/>
      <c r="D8" s="3"/>
      <c r="E8" s="20" t="s">
        <v>23</v>
      </c>
      <c r="F8" s="21" t="s">
        <v>14</v>
      </c>
      <c r="G8" s="42">
        <f>+IF(C5="","",berekeningen!E8)</f>
        <v>6.9773535466966141</v>
      </c>
      <c r="H8" s="10" t="s">
        <v>25</v>
      </c>
      <c r="I8" s="10"/>
      <c r="K8" s="38"/>
    </row>
    <row r="9" spans="1:11" x14ac:dyDescent="0.25">
      <c r="A9" s="3"/>
      <c r="B9" s="3"/>
      <c r="C9" s="3"/>
      <c r="D9" s="3"/>
      <c r="E9" s="20" t="s">
        <v>23</v>
      </c>
      <c r="F9" s="21" t="s">
        <v>14</v>
      </c>
      <c r="G9" s="42">
        <f>+IF(C5="","",berekeningen!E6)</f>
        <v>21.304963265946583</v>
      </c>
      <c r="H9" s="10" t="s">
        <v>24</v>
      </c>
      <c r="I9" s="10"/>
      <c r="K9" s="38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11" x14ac:dyDescent="0.25">
      <c r="A11" s="3"/>
      <c r="B11" s="3"/>
      <c r="C11" s="3"/>
      <c r="D11" s="3"/>
      <c r="E11" s="9" t="s">
        <v>6</v>
      </c>
      <c r="F11" s="5"/>
      <c r="G11" s="25" t="s">
        <v>48</v>
      </c>
      <c r="H11" s="25" t="s">
        <v>44</v>
      </c>
      <c r="I11" s="3"/>
    </row>
    <row r="12" spans="1:11" x14ac:dyDescent="0.25">
      <c r="A12" s="23" t="s">
        <v>50</v>
      </c>
      <c r="B12" s="3"/>
      <c r="C12" s="3"/>
      <c r="D12" s="3"/>
      <c r="E12" s="18" t="s">
        <v>49</v>
      </c>
      <c r="F12" s="22" t="s">
        <v>1</v>
      </c>
      <c r="G12" s="43">
        <f>+IF(C5="","",berekeningen!E11)</f>
        <v>135</v>
      </c>
      <c r="H12" s="43">
        <f>+IF(C5="","",berekeningen!F11)</f>
        <v>135</v>
      </c>
      <c r="I12" s="3"/>
    </row>
    <row r="13" spans="1:11" x14ac:dyDescent="0.25">
      <c r="A13" s="24" t="s">
        <v>53</v>
      </c>
      <c r="B13" s="3"/>
      <c r="C13" s="3"/>
      <c r="D13" s="3"/>
      <c r="E13" s="18" t="s">
        <v>29</v>
      </c>
      <c r="F13" s="19" t="s">
        <v>1</v>
      </c>
      <c r="G13" s="43">
        <f>+IF(C5="","",berekeningen!F12)</f>
        <v>418.64121280179683</v>
      </c>
      <c r="H13" s="43">
        <f>+IF(C5="","",berekeningen!E12)</f>
        <v>1278.297795956795</v>
      </c>
      <c r="I13" s="3"/>
    </row>
    <row r="14" spans="1:11" x14ac:dyDescent="0.25">
      <c r="A14" s="3"/>
      <c r="B14" s="3"/>
      <c r="C14" s="3"/>
      <c r="D14" s="3"/>
      <c r="E14" s="18" t="s">
        <v>30</v>
      </c>
      <c r="F14" s="19" t="s">
        <v>1</v>
      </c>
      <c r="G14" s="43">
        <f>+IF(C5="","",berekeningen!F13)</f>
        <v>941.94272880404287</v>
      </c>
      <c r="H14" s="43">
        <f>+IF(C5="","",berekeningen!E13)</f>
        <v>2876.1700409027885</v>
      </c>
      <c r="I14" s="3"/>
    </row>
    <row r="15" spans="1:11" x14ac:dyDescent="0.25">
      <c r="A15" s="3"/>
      <c r="B15" s="3"/>
      <c r="C15" s="3"/>
      <c r="D15" s="3"/>
      <c r="E15" s="18" t="s">
        <v>32</v>
      </c>
      <c r="F15" s="19" t="s">
        <v>1</v>
      </c>
      <c r="G15" s="43">
        <f>+IF(C5="","",berekeningen!F14)</f>
        <v>1360.5839416058398</v>
      </c>
      <c r="H15" s="43">
        <f>+IF(C5="","",berekeningen!E14)</f>
        <v>4154.4678368595833</v>
      </c>
      <c r="I15" s="3"/>
    </row>
    <row r="16" spans="1:11" x14ac:dyDescent="0.25">
      <c r="A16" s="3"/>
      <c r="B16" s="3"/>
      <c r="C16" s="3"/>
      <c r="D16" s="3"/>
      <c r="E16" s="18" t="s">
        <v>33</v>
      </c>
      <c r="F16" s="19" t="s">
        <v>1</v>
      </c>
      <c r="G16" s="43">
        <f>+IF(C5="","",berekeningen!F15)</f>
        <v>3401.4598540145989</v>
      </c>
      <c r="H16" s="43">
        <f>+IF(C5="","",berekeningen!E15)</f>
        <v>3401.4598540145989</v>
      </c>
      <c r="I16" s="3"/>
    </row>
    <row r="17" spans="1:9" x14ac:dyDescent="0.25">
      <c r="A17" s="3"/>
      <c r="B17" s="3"/>
      <c r="C17" s="3"/>
      <c r="D17" s="3"/>
      <c r="E17" s="18" t="s">
        <v>34</v>
      </c>
      <c r="F17" s="19" t="s">
        <v>2</v>
      </c>
      <c r="G17" s="44">
        <f>+IF(C5="","",berekeningen!F16)</f>
        <v>40.000000000000007</v>
      </c>
      <c r="H17" s="44">
        <f>+IF(C5="","",berekeningen!E16)</f>
        <v>122.13778833685897</v>
      </c>
      <c r="I17" s="3"/>
    </row>
    <row r="18" spans="1:9" x14ac:dyDescent="0.25">
      <c r="F18" s="1"/>
    </row>
  </sheetData>
  <sheetProtection algorithmName="SHA-512" hashValue="gZklUk53z3MJVl0KE+liClxJJ5+KWRHCGYriD+s7pHtKgUZWuf46wRkAvCtZ/V+8Xpzl46UGcIb17+msNXTjEQ==" saltValue="hPhrPDkRHnsYKR5qKHs64w==" spinCount="100000" sheet="1" objects="1" scenarios="1"/>
  <mergeCells count="2">
    <mergeCell ref="H8:I8"/>
    <mergeCell ref="H9:I9"/>
  </mergeCells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15" zoomScaleNormal="115" workbookViewId="0">
      <selection activeCell="C4" sqref="C4"/>
    </sheetView>
  </sheetViews>
  <sheetFormatPr defaultRowHeight="15" x14ac:dyDescent="0.25"/>
  <cols>
    <col min="1" max="1" width="32.7109375" bestFit="1" customWidth="1"/>
    <col min="3" max="3" width="37.5703125" customWidth="1"/>
  </cols>
  <sheetData>
    <row r="1" spans="1:8" x14ac:dyDescent="0.25">
      <c r="A1" s="26" t="s">
        <v>0</v>
      </c>
      <c r="B1" s="3"/>
      <c r="C1" s="3"/>
    </row>
    <row r="2" spans="1:8" x14ac:dyDescent="0.25">
      <c r="A2" s="3"/>
      <c r="B2" s="3"/>
      <c r="C2" s="3"/>
    </row>
    <row r="3" spans="1:8" x14ac:dyDescent="0.25">
      <c r="A3" s="4" t="s">
        <v>6</v>
      </c>
      <c r="B3" s="3"/>
      <c r="C3" s="3"/>
    </row>
    <row r="4" spans="1:8" x14ac:dyDescent="0.25">
      <c r="A4" s="18" t="s">
        <v>3</v>
      </c>
      <c r="B4" s="19" t="s">
        <v>1</v>
      </c>
      <c r="C4" s="46">
        <v>135</v>
      </c>
    </row>
    <row r="5" spans="1:8" x14ac:dyDescent="0.25">
      <c r="A5" s="18" t="s">
        <v>4</v>
      </c>
      <c r="B5" s="19" t="s">
        <v>1</v>
      </c>
      <c r="C5" s="46">
        <v>60</v>
      </c>
    </row>
    <row r="6" spans="1:8" x14ac:dyDescent="0.25">
      <c r="A6" s="18" t="s">
        <v>5</v>
      </c>
      <c r="B6" s="19" t="s">
        <v>2</v>
      </c>
      <c r="C6" s="46">
        <v>40</v>
      </c>
    </row>
    <row r="7" spans="1:8" x14ac:dyDescent="0.25">
      <c r="A7" s="3"/>
      <c r="B7" s="5"/>
      <c r="C7" s="7"/>
    </row>
    <row r="8" spans="1:8" x14ac:dyDescent="0.25">
      <c r="A8" s="4" t="s">
        <v>7</v>
      </c>
      <c r="B8" s="5"/>
      <c r="C8" s="7"/>
    </row>
    <row r="9" spans="1:8" x14ac:dyDescent="0.25">
      <c r="A9" s="18" t="s">
        <v>8</v>
      </c>
      <c r="B9" s="19" t="s">
        <v>9</v>
      </c>
      <c r="C9" s="46">
        <v>54.8</v>
      </c>
    </row>
    <row r="10" spans="1:8" x14ac:dyDescent="0.25">
      <c r="A10" s="18" t="s">
        <v>10</v>
      </c>
      <c r="B10" s="19" t="s">
        <v>1</v>
      </c>
      <c r="C10" s="46">
        <v>37.28</v>
      </c>
      <c r="H10" s="45"/>
    </row>
    <row r="11" spans="1:8" x14ac:dyDescent="0.25">
      <c r="A11" s="3"/>
      <c r="B11" s="5"/>
      <c r="C11" s="7"/>
    </row>
    <row r="12" spans="1:8" x14ac:dyDescent="0.25">
      <c r="A12" s="4" t="s">
        <v>11</v>
      </c>
      <c r="B12" s="5"/>
      <c r="C12" s="7"/>
    </row>
    <row r="13" spans="1:8" x14ac:dyDescent="0.25">
      <c r="A13" s="18" t="s">
        <v>12</v>
      </c>
      <c r="B13" s="19" t="s">
        <v>13</v>
      </c>
      <c r="C13" s="47">
        <v>365</v>
      </c>
    </row>
    <row r="14" spans="1:8" x14ac:dyDescent="0.25">
      <c r="A14" s="18" t="s">
        <v>51</v>
      </c>
      <c r="B14" s="27" t="s">
        <v>14</v>
      </c>
      <c r="C14" s="48" t="s">
        <v>52</v>
      </c>
    </row>
    <row r="15" spans="1:8" x14ac:dyDescent="0.25">
      <c r="B15" s="1"/>
    </row>
    <row r="16" spans="1:8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</sheetData>
  <sheetProtection algorithmName="SHA-512" hashValue="p+ord+/QQ2xAJwvPKTGyhqgm8+j87tg4nvMMCEhKrUzLYUyCXt1QROWqIQUboT6JwBVAq+irhjvdtkMEkCUhSw==" saltValue="B+iCgiw8G6GqUgCm4iXCz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zoomScale="115" zoomScaleNormal="115" workbookViewId="0">
      <selection activeCell="B10" sqref="B10"/>
    </sheetView>
  </sheetViews>
  <sheetFormatPr defaultRowHeight="15" x14ac:dyDescent="0.25"/>
  <cols>
    <col min="1" max="1" width="132.5703125" customWidth="1"/>
  </cols>
  <sheetData>
    <row r="1" spans="1:1" x14ac:dyDescent="0.25">
      <c r="A1" s="31" t="s">
        <v>54</v>
      </c>
    </row>
    <row r="2" spans="1:1" x14ac:dyDescent="0.25">
      <c r="A2" s="32"/>
    </row>
    <row r="3" spans="1:1" x14ac:dyDescent="0.25">
      <c r="A3" s="33" t="s">
        <v>55</v>
      </c>
    </row>
    <row r="4" spans="1:1" x14ac:dyDescent="0.25">
      <c r="A4" s="32" t="s">
        <v>56</v>
      </c>
    </row>
    <row r="5" spans="1:1" ht="30" x14ac:dyDescent="0.25">
      <c r="A5" s="32" t="s">
        <v>57</v>
      </c>
    </row>
    <row r="6" spans="1:1" ht="30" x14ac:dyDescent="0.25">
      <c r="A6" s="32" t="s">
        <v>70</v>
      </c>
    </row>
    <row r="7" spans="1:1" x14ac:dyDescent="0.25">
      <c r="A7" s="32" t="s">
        <v>58</v>
      </c>
    </row>
    <row r="8" spans="1:1" x14ac:dyDescent="0.25">
      <c r="A8" s="32"/>
    </row>
    <row r="9" spans="1:1" x14ac:dyDescent="0.25">
      <c r="A9" s="33" t="s">
        <v>59</v>
      </c>
    </row>
    <row r="10" spans="1:1" x14ac:dyDescent="0.25">
      <c r="A10" s="32" t="s">
        <v>69</v>
      </c>
    </row>
    <row r="11" spans="1:1" x14ac:dyDescent="0.25">
      <c r="A11" s="32"/>
    </row>
    <row r="12" spans="1:1" x14ac:dyDescent="0.25">
      <c r="A12" s="33" t="s">
        <v>60</v>
      </c>
    </row>
    <row r="13" spans="1:1" ht="30" x14ac:dyDescent="0.25">
      <c r="A13" s="34" t="s">
        <v>61</v>
      </c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5" t="s">
        <v>62</v>
      </c>
    </row>
    <row r="29" spans="1:1" ht="15.75" x14ac:dyDescent="0.25">
      <c r="A29" s="35" t="s">
        <v>64</v>
      </c>
    </row>
    <row r="30" spans="1:1" ht="15.75" x14ac:dyDescent="0.25">
      <c r="A30" s="35" t="s">
        <v>65</v>
      </c>
    </row>
    <row r="31" spans="1:1" ht="30" x14ac:dyDescent="0.25">
      <c r="A31" s="35" t="s">
        <v>63</v>
      </c>
    </row>
    <row r="32" spans="1:1" ht="15.75" x14ac:dyDescent="0.25">
      <c r="A32" s="36" t="s">
        <v>66</v>
      </c>
    </row>
    <row r="33" spans="1:1" ht="30.75" x14ac:dyDescent="0.25">
      <c r="A33" s="35" t="s">
        <v>67</v>
      </c>
    </row>
    <row r="34" spans="1:1" x14ac:dyDescent="0.25">
      <c r="A34" s="37"/>
    </row>
    <row r="35" spans="1:1" x14ac:dyDescent="0.25">
      <c r="A35" s="28"/>
    </row>
    <row r="36" spans="1:1" x14ac:dyDescent="0.25">
      <c r="A36" s="28"/>
    </row>
  </sheetData>
  <sheetProtection algorithmName="SHA-512" hashValue="2Enwm3kRwbgNwt8ItR7+NIkb3/SfQ53+nBBealDMaIGckjxGp/MNTRYTWhmMmO+Zx3/q72x4hxlgY+8lP374+A==" saltValue="NSOr/VIzgSZ3qJ+/BCD2hg==" spinCount="100000" sheet="1" objects="1" scenarios="1"/>
  <hyperlinks>
    <hyperlink ref="A13" r:id="rId1" display="https://wetten.overheid.nl/jci1.3:c:BWBR0025458&amp;artikel=7.5&amp;g=2021-02-03&amp;z=2021-02-03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6"/>
  <sheetViews>
    <sheetView topLeftCell="C1" zoomScale="145" zoomScaleNormal="145" workbookViewId="0">
      <selection activeCell="E11" sqref="E11"/>
    </sheetView>
  </sheetViews>
  <sheetFormatPr defaultRowHeight="15" x14ac:dyDescent="0.25"/>
  <cols>
    <col min="3" max="3" width="26.42578125" bestFit="1" customWidth="1"/>
    <col min="4" max="4" width="7.85546875" bestFit="1" customWidth="1"/>
    <col min="6" max="6" width="9.42578125" customWidth="1"/>
    <col min="7" max="7" width="32.140625" customWidth="1"/>
  </cols>
  <sheetData>
    <row r="1" spans="3:7" x14ac:dyDescent="0.25">
      <c r="C1" s="3" t="s">
        <v>40</v>
      </c>
      <c r="D1" s="3" t="s">
        <v>13</v>
      </c>
      <c r="E1" s="49">
        <f>+Configuratie!C13</f>
        <v>365</v>
      </c>
      <c r="F1" s="3"/>
      <c r="G1" s="3"/>
    </row>
    <row r="2" spans="3:7" x14ac:dyDescent="0.25">
      <c r="C2" s="3" t="s">
        <v>20</v>
      </c>
      <c r="D2" s="3" t="s">
        <v>2</v>
      </c>
      <c r="E2" s="49">
        <f>+Programma!C7</f>
        <v>80</v>
      </c>
      <c r="F2" s="3"/>
      <c r="G2" s="3"/>
    </row>
    <row r="3" spans="3:7" x14ac:dyDescent="0.25">
      <c r="C3" s="3" t="s">
        <v>21</v>
      </c>
      <c r="D3" s="3" t="s">
        <v>35</v>
      </c>
      <c r="E3" s="49">
        <f>+IF(Programma!C5="","",Programma!C5)</f>
        <v>5000</v>
      </c>
      <c r="F3" s="3"/>
      <c r="G3" s="3"/>
    </row>
    <row r="4" spans="3:7" x14ac:dyDescent="0.25">
      <c r="C4" s="3" t="s">
        <v>36</v>
      </c>
      <c r="D4" s="3"/>
      <c r="E4" s="50">
        <f>+E3/Configuratie!C9</f>
        <v>91.240875912408768</v>
      </c>
      <c r="F4" s="3"/>
      <c r="G4" s="3"/>
    </row>
    <row r="5" spans="3:7" x14ac:dyDescent="0.25">
      <c r="C5" s="3" t="s">
        <v>37</v>
      </c>
      <c r="D5" s="3"/>
      <c r="E5" s="51">
        <f>35/EXP(0.000175*E4)</f>
        <v>34.445587607763869</v>
      </c>
      <c r="F5" s="3"/>
      <c r="G5" s="3"/>
    </row>
    <row r="6" spans="3:7" x14ac:dyDescent="0.25">
      <c r="C6" s="3" t="s">
        <v>38</v>
      </c>
      <c r="D6" s="3" t="s">
        <v>13</v>
      </c>
      <c r="E6" s="52">
        <f>+((2*E2/E5)^2*E1)/((2*E2/E5)+E1)</f>
        <v>21.304963265946583</v>
      </c>
      <c r="F6" s="29" t="s">
        <v>39</v>
      </c>
      <c r="G6" s="29"/>
    </row>
    <row r="7" spans="3:7" x14ac:dyDescent="0.25">
      <c r="C7" s="3" t="s">
        <v>41</v>
      </c>
      <c r="D7" s="3"/>
      <c r="E7" s="53">
        <f>+IF(E16&gt;40,1,2)</f>
        <v>1</v>
      </c>
      <c r="F7" s="30" t="s">
        <v>43</v>
      </c>
      <c r="G7" s="30"/>
    </row>
    <row r="8" spans="3:7" x14ac:dyDescent="0.25">
      <c r="C8" s="3" t="s">
        <v>42</v>
      </c>
      <c r="D8" s="3"/>
      <c r="E8" s="52">
        <f>+IF(E7=2,E6,0.4*E15/(Configuratie!C4+Configuratie!C5))</f>
        <v>6.9773535466966141</v>
      </c>
      <c r="F8" s="29" t="s">
        <v>68</v>
      </c>
      <c r="G8" s="29"/>
    </row>
    <row r="9" spans="3:7" x14ac:dyDescent="0.25">
      <c r="C9" s="3"/>
      <c r="D9" s="3"/>
      <c r="E9" s="6"/>
      <c r="F9" s="3"/>
      <c r="G9" s="3"/>
    </row>
    <row r="10" spans="3:7" x14ac:dyDescent="0.25">
      <c r="C10" s="4" t="s">
        <v>6</v>
      </c>
      <c r="D10" s="5"/>
      <c r="E10" s="7" t="s">
        <v>46</v>
      </c>
      <c r="F10" s="7" t="s">
        <v>45</v>
      </c>
      <c r="G10" s="3"/>
    </row>
    <row r="11" spans="3:7" x14ac:dyDescent="0.25">
      <c r="C11" s="3" t="s">
        <v>31</v>
      </c>
      <c r="D11" s="5" t="s">
        <v>1</v>
      </c>
      <c r="E11" s="54">
        <f>+Configuratie!C4</f>
        <v>135</v>
      </c>
      <c r="F11" s="54">
        <f>+Configuratie!C4</f>
        <v>135</v>
      </c>
      <c r="G11" s="3"/>
    </row>
    <row r="12" spans="3:7" x14ac:dyDescent="0.25">
      <c r="C12" s="3" t="s">
        <v>29</v>
      </c>
      <c r="D12" s="5" t="s">
        <v>1</v>
      </c>
      <c r="E12" s="55">
        <f>+E6*Configuratie!C5</f>
        <v>1278.297795956795</v>
      </c>
      <c r="F12" s="55">
        <f>+E8*Configuratie!C5</f>
        <v>418.64121280179683</v>
      </c>
      <c r="G12" s="3"/>
    </row>
    <row r="13" spans="3:7" x14ac:dyDescent="0.25">
      <c r="C13" s="3" t="s">
        <v>30</v>
      </c>
      <c r="D13" s="5" t="s">
        <v>1</v>
      </c>
      <c r="E13" s="55">
        <f>+E6*E11</f>
        <v>2876.1700409027885</v>
      </c>
      <c r="F13" s="55">
        <f>+E8*F11</f>
        <v>941.94272880404287</v>
      </c>
      <c r="G13" s="3"/>
    </row>
    <row r="14" spans="3:7" x14ac:dyDescent="0.25">
      <c r="C14" s="3" t="s">
        <v>32</v>
      </c>
      <c r="D14" s="5" t="s">
        <v>1</v>
      </c>
      <c r="E14" s="55">
        <f>+E12+E13</f>
        <v>4154.4678368595833</v>
      </c>
      <c r="F14" s="55">
        <f>+F12+F13</f>
        <v>1360.5839416058398</v>
      </c>
      <c r="G14" s="3"/>
    </row>
    <row r="15" spans="3:7" x14ac:dyDescent="0.25">
      <c r="C15" s="3" t="s">
        <v>33</v>
      </c>
      <c r="D15" s="5" t="s">
        <v>1</v>
      </c>
      <c r="E15" s="55">
        <f>+E4*Configuratie!C10</f>
        <v>3401.4598540145989</v>
      </c>
      <c r="F15" s="55">
        <f>+E4*Configuratie!C10</f>
        <v>3401.4598540145989</v>
      </c>
      <c r="G15" s="3"/>
    </row>
    <row r="16" spans="3:7" x14ac:dyDescent="0.25">
      <c r="C16" s="3" t="s">
        <v>34</v>
      </c>
      <c r="D16" s="5" t="s">
        <v>2</v>
      </c>
      <c r="E16" s="56">
        <f>+E14/E15*100</f>
        <v>122.13778833685897</v>
      </c>
      <c r="F16" s="56">
        <f>+F14/F15*100</f>
        <v>40.000000000000007</v>
      </c>
      <c r="G16" s="3"/>
    </row>
  </sheetData>
  <sheetProtection algorithmName="SHA-512" hashValue="g/tBD+PeQRlpxwTGRWYhGb+EKqb4zwKhSgKPVW5AX8T1pQoNO2unm/nf08VhbMdxAFxe2zk/D80hXo94vW84Uw==" saltValue="7wzTpR5ozIEx2ZpBgR662w==" spinCount="100000" sheet="1" objects="1" scenarios="1"/>
  <mergeCells count="1">
    <mergeCell ref="F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Programma</vt:lpstr>
      <vt:lpstr>Configuratie</vt:lpstr>
      <vt:lpstr>Help</vt:lpstr>
      <vt:lpstr>berekeningen</vt:lpstr>
      <vt:lpstr>Programma!Afdrukbereik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2021-02-03T15:58:26Z</dcterms:modified>
</cp:coreProperties>
</file>